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6" windowHeight="12036" tabRatio="595" activeTab="5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/>
</workbook>
</file>

<file path=xl/calcChain.xml><?xml version="1.0" encoding="utf-8"?>
<calcChain xmlns="http://schemas.openxmlformats.org/spreadsheetml/2006/main">
  <c r="AC19" i="4" l="1"/>
  <c r="AC18" i="4"/>
  <c r="AC14" i="4"/>
  <c r="AC13" i="4"/>
  <c r="AC12" i="4"/>
  <c r="AC11" i="4"/>
  <c r="T20" i="4" l="1"/>
  <c r="V20" i="4"/>
  <c r="T19" i="4"/>
  <c r="V19" i="4"/>
  <c r="T18" i="4"/>
  <c r="V18" i="4"/>
  <c r="T17" i="4"/>
  <c r="V17" i="4"/>
  <c r="T16" i="4"/>
  <c r="V16" i="4"/>
  <c r="T15" i="4"/>
  <c r="V15" i="4"/>
  <c r="T14" i="4"/>
  <c r="V14" i="4"/>
  <c r="T13" i="4"/>
  <c r="V13" i="4"/>
  <c r="T12" i="4"/>
  <c r="V12" i="4"/>
  <c r="T11" i="4"/>
  <c r="V11" i="4"/>
  <c r="AC20" i="4" l="1"/>
  <c r="AC17" i="4"/>
  <c r="AC16" i="4"/>
  <c r="AC15" i="4"/>
  <c r="U15" i="2"/>
  <c r="T15" i="2"/>
  <c r="V15" i="2"/>
  <c r="U13" i="2"/>
  <c r="T13" i="2"/>
  <c r="V13" i="2"/>
  <c r="U14" i="2"/>
  <c r="T14" i="2"/>
  <c r="V14" i="2"/>
  <c r="V12" i="2"/>
  <c r="T12" i="2"/>
  <c r="U11" i="2"/>
  <c r="T11" i="2"/>
  <c r="U10" i="2"/>
  <c r="T10" i="2"/>
  <c r="L97" i="5" l="1"/>
  <c r="G16" i="5" l="1"/>
  <c r="G14" i="5"/>
  <c r="G49" i="5" l="1"/>
  <c r="G143" i="5"/>
  <c r="G129" i="5"/>
  <c r="R241" i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G128" i="5" l="1"/>
  <c r="G127" i="5"/>
  <c r="G115" i="5"/>
  <c r="G116" i="5"/>
  <c r="G137" i="5"/>
  <c r="G59" i="5"/>
  <c r="G34" i="5"/>
  <c r="L172" i="5" l="1"/>
  <c r="L155" i="5"/>
  <c r="L129" i="5"/>
  <c r="L81" i="5"/>
  <c r="L66" i="5"/>
  <c r="L53" i="5"/>
  <c r="L39" i="5"/>
  <c r="L21" i="5" l="1"/>
  <c r="L15" i="5"/>
  <c r="L16" i="5"/>
  <c r="L17" i="5"/>
  <c r="L18" i="5"/>
  <c r="L19" i="5"/>
  <c r="L20" i="5"/>
  <c r="L14" i="5"/>
  <c r="L22" i="5" l="1"/>
  <c r="Z20" i="4"/>
  <c r="G102" i="1" l="1"/>
  <c r="M13" i="7" l="1"/>
  <c r="K13" i="7"/>
  <c r="Z18" i="7"/>
  <c r="Y18" i="7"/>
  <c r="J11" i="7"/>
  <c r="J13" i="7"/>
  <c r="I16" i="7"/>
  <c r="I15" i="7"/>
  <c r="I14" i="7"/>
  <c r="I13" i="7"/>
  <c r="I12" i="7"/>
  <c r="I11" i="7"/>
  <c r="V13" i="7"/>
  <c r="W13" i="7" s="1"/>
  <c r="V15" i="7"/>
  <c r="V14" i="7"/>
  <c r="V12" i="7"/>
  <c r="V11" i="7"/>
  <c r="V16" i="7"/>
  <c r="W14" i="7"/>
  <c r="W11" i="7"/>
  <c r="X11" i="7"/>
  <c r="X10" i="7"/>
  <c r="X9" i="7"/>
  <c r="X17" i="7"/>
  <c r="W18" i="7"/>
  <c r="T18" i="7"/>
  <c r="W15" i="7"/>
  <c r="W16" i="7"/>
  <c r="W12" i="7"/>
  <c r="T11" i="7"/>
  <c r="T13" i="7"/>
  <c r="R17" i="7"/>
  <c r="T16" i="7"/>
  <c r="T15" i="7"/>
  <c r="T14" i="7"/>
  <c r="T12" i="7"/>
  <c r="AJ19" i="4"/>
  <c r="W19" i="4"/>
  <c r="AJ18" i="4"/>
  <c r="W18" i="4"/>
  <c r="AK17" i="4"/>
  <c r="AJ17" i="4"/>
  <c r="W17" i="4"/>
  <c r="AJ16" i="4"/>
  <c r="W16" i="4"/>
  <c r="AJ15" i="4"/>
  <c r="W15" i="4"/>
  <c r="AJ14" i="4"/>
  <c r="W14" i="4"/>
  <c r="AJ13" i="4"/>
  <c r="W13" i="4"/>
  <c r="AJ12" i="4"/>
  <c r="W12" i="4"/>
  <c r="AJ11" i="4"/>
  <c r="W11" i="4"/>
  <c r="W17" i="7" l="1"/>
  <c r="T17" i="7"/>
  <c r="S17" i="7" s="1"/>
  <c r="U20" i="4"/>
  <c r="N175" i="5"/>
  <c r="W20" i="4"/>
  <c r="G155" i="5"/>
  <c r="H126" i="5"/>
  <c r="I126" i="5"/>
  <c r="G126" i="5"/>
  <c r="G113" i="5"/>
  <c r="I71" i="5"/>
  <c r="H71" i="5"/>
  <c r="G71" i="5"/>
  <c r="G81" i="5" s="1"/>
  <c r="I60" i="5"/>
  <c r="H60" i="5"/>
  <c r="G60" i="5"/>
  <c r="G33" i="5"/>
  <c r="I16" i="5"/>
  <c r="H16" i="5"/>
  <c r="I20" i="5"/>
  <c r="H20" i="5"/>
  <c r="G20" i="5"/>
  <c r="I18" i="5"/>
  <c r="H18" i="5"/>
  <c r="G18" i="5"/>
  <c r="I17" i="5"/>
  <c r="H17" i="5"/>
  <c r="G17" i="5"/>
  <c r="I19" i="5"/>
  <c r="H19" i="5"/>
  <c r="G19" i="5"/>
  <c r="I15" i="5"/>
  <c r="H15" i="5"/>
  <c r="G15" i="5"/>
  <c r="I14" i="5"/>
  <c r="H14" i="5"/>
  <c r="V17" i="7" l="1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H197" i="1"/>
  <c r="I197" i="1"/>
  <c r="G197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77" i="5"/>
  <c r="P155" i="5"/>
  <c r="AH11" i="2"/>
  <c r="AE11" i="2"/>
  <c r="G73" i="1"/>
  <c r="G66" i="1"/>
  <c r="G62" i="1"/>
  <c r="I62" i="1"/>
  <c r="H62" i="1"/>
  <c r="G12" i="1"/>
  <c r="I49" i="1"/>
  <c r="H49" i="1"/>
  <c r="G49" i="1"/>
  <c r="G54" i="1"/>
  <c r="AH10" i="2"/>
  <c r="AE10" i="2"/>
  <c r="H35" i="1"/>
  <c r="G35" i="1"/>
  <c r="H25" i="1"/>
  <c r="G25" i="1"/>
  <c r="I19" i="1"/>
  <c r="I14" i="1"/>
  <c r="H19" i="1"/>
  <c r="X14" i="2"/>
  <c r="X12" i="2"/>
  <c r="X11" i="2"/>
  <c r="X10" i="2"/>
  <c r="X13" i="2"/>
  <c r="X15" i="2"/>
  <c r="O62" i="5"/>
  <c r="O31" i="5"/>
  <c r="K154" i="5"/>
  <c r="O154" i="5" s="1"/>
  <c r="K166" i="5"/>
  <c r="K167" i="5"/>
  <c r="K165" i="5"/>
  <c r="O165" i="5" s="1"/>
  <c r="K164" i="5"/>
  <c r="K163" i="5"/>
  <c r="K162" i="5"/>
  <c r="O153" i="5"/>
  <c r="K151" i="5"/>
  <c r="O151" i="5" s="1"/>
  <c r="K152" i="5"/>
  <c r="K153" i="5"/>
  <c r="K150" i="5"/>
  <c r="K149" i="5"/>
  <c r="K148" i="5"/>
  <c r="M148" i="5" s="1"/>
  <c r="K147" i="5"/>
  <c r="N148" i="5"/>
  <c r="Q148" i="5"/>
  <c r="K142" i="5"/>
  <c r="K140" i="5"/>
  <c r="K138" i="5"/>
  <c r="K137" i="5"/>
  <c r="K141" i="5"/>
  <c r="K139" i="5"/>
  <c r="M137" i="5"/>
  <c r="N137" i="5"/>
  <c r="T137" i="5" s="1"/>
  <c r="U137" i="5" s="1"/>
  <c r="V137" i="5" s="1"/>
  <c r="O137" i="5"/>
  <c r="Q137" i="5"/>
  <c r="K105" i="5"/>
  <c r="K106" i="5"/>
  <c r="K107" i="5"/>
  <c r="K113" i="5"/>
  <c r="K114" i="5"/>
  <c r="K115" i="5"/>
  <c r="K116" i="5"/>
  <c r="K91" i="5"/>
  <c r="K92" i="5"/>
  <c r="K90" i="5"/>
  <c r="K89" i="5"/>
  <c r="O89" i="5" s="1"/>
  <c r="K88" i="5"/>
  <c r="K74" i="5"/>
  <c r="K75" i="5"/>
  <c r="K73" i="5"/>
  <c r="K72" i="5"/>
  <c r="K71" i="5"/>
  <c r="K70" i="5"/>
  <c r="O61" i="5"/>
  <c r="K62" i="5"/>
  <c r="K63" i="5"/>
  <c r="K61" i="5"/>
  <c r="K60" i="5"/>
  <c r="K59" i="5"/>
  <c r="K48" i="5"/>
  <c r="K49" i="5"/>
  <c r="K47" i="5"/>
  <c r="K46" i="5"/>
  <c r="O46" i="5" s="1"/>
  <c r="K45" i="5"/>
  <c r="K44" i="5"/>
  <c r="K43" i="5"/>
  <c r="K31" i="5"/>
  <c r="K35" i="5"/>
  <c r="K33" i="5"/>
  <c r="K32" i="5"/>
  <c r="K34" i="5"/>
  <c r="K16" i="5"/>
  <c r="O16" i="5" s="1"/>
  <c r="K17" i="5"/>
  <c r="K18" i="5"/>
  <c r="K19" i="5"/>
  <c r="K20" i="5"/>
  <c r="K21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O148" i="5" l="1"/>
  <c r="T148" i="5" s="1"/>
  <c r="U148" i="5" s="1"/>
  <c r="V148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H187" i="1"/>
  <c r="G187" i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X188" i="1"/>
  <c r="W188" i="1" s="1"/>
  <c r="T188" i="1" s="1"/>
  <c r="AB188" i="1"/>
  <c r="U188" i="1" s="1"/>
  <c r="O188" i="1"/>
  <c r="N188" i="1" s="1"/>
  <c r="J142" i="5"/>
  <c r="J59" i="5"/>
  <c r="J61" i="5"/>
  <c r="J63" i="5"/>
  <c r="J60" i="5"/>
  <c r="M175" i="5" l="1"/>
  <c r="M174" i="5"/>
  <c r="I176" i="5"/>
  <c r="H176" i="5"/>
  <c r="G176" i="5"/>
  <c r="G175" i="5"/>
  <c r="M157" i="5"/>
  <c r="N157" i="5"/>
  <c r="M158" i="5"/>
  <c r="I159" i="5"/>
  <c r="H159" i="5"/>
  <c r="G159" i="5"/>
  <c r="G158" i="5"/>
  <c r="N158" i="5" s="1"/>
  <c r="M84" i="5"/>
  <c r="N83" i="5"/>
  <c r="N84" i="5"/>
  <c r="M83" i="5"/>
  <c r="I85" i="5"/>
  <c r="H85" i="5"/>
  <c r="G85" i="5"/>
  <c r="G84" i="5"/>
  <c r="N132" i="5"/>
  <c r="M132" i="5"/>
  <c r="G133" i="5"/>
  <c r="I131" i="5"/>
  <c r="I133" i="5" s="1"/>
  <c r="H131" i="5"/>
  <c r="H133" i="5" s="1"/>
  <c r="G132" i="5"/>
  <c r="O107" i="5"/>
  <c r="I78" i="5" l="1"/>
  <c r="H78" i="5"/>
  <c r="G78" i="5"/>
  <c r="I77" i="5"/>
  <c r="H77" i="5"/>
  <c r="G77" i="5"/>
  <c r="U214" i="1" l="1"/>
  <c r="AE199" i="1"/>
  <c r="AD199" i="1"/>
  <c r="AC199" i="1"/>
  <c r="Z199" i="1"/>
  <c r="Y199" i="1"/>
  <c r="X199" i="1"/>
  <c r="AE187" i="1"/>
  <c r="AD187" i="1"/>
  <c r="AC187" i="1"/>
  <c r="AB187" i="1" s="1"/>
  <c r="U187" i="1" s="1"/>
  <c r="Z187" i="1"/>
  <c r="Y187" i="1"/>
  <c r="X187" i="1"/>
  <c r="W187" i="1" s="1"/>
  <c r="T187" i="1" s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AB145" i="1" s="1"/>
  <c r="U145" i="1" s="1"/>
  <c r="Z145" i="1"/>
  <c r="Y145" i="1"/>
  <c r="X145" i="1"/>
  <c r="W145" i="1"/>
  <c r="T145" i="1" s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W117" i="1" s="1"/>
  <c r="T117" i="1" s="1"/>
  <c r="P112" i="1"/>
  <c r="AE109" i="1"/>
  <c r="AD109" i="1"/>
  <c r="AC109" i="1"/>
  <c r="Z109" i="1"/>
  <c r="Y109" i="1"/>
  <c r="X109" i="1"/>
  <c r="W109" i="1" s="1"/>
  <c r="T109" i="1" s="1"/>
  <c r="P109" i="1"/>
  <c r="P83" i="1"/>
  <c r="AE77" i="1"/>
  <c r="AD77" i="1"/>
  <c r="AC77" i="1"/>
  <c r="Z77" i="1"/>
  <c r="Y77" i="1"/>
  <c r="W77" i="1" s="1"/>
  <c r="T77" i="1" s="1"/>
  <c r="X77" i="1"/>
  <c r="AE74" i="1"/>
  <c r="AD74" i="1"/>
  <c r="AC74" i="1"/>
  <c r="Z74" i="1"/>
  <c r="Y74" i="1"/>
  <c r="X74" i="1"/>
  <c r="W74" i="1" s="1"/>
  <c r="T74" i="1" s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W59" i="1" s="1"/>
  <c r="T59" i="1" s="1"/>
  <c r="X59" i="1"/>
  <c r="U42" i="1"/>
  <c r="T42" i="1"/>
  <c r="U41" i="1"/>
  <c r="T41" i="1"/>
  <c r="P35" i="1"/>
  <c r="AE34" i="1"/>
  <c r="AD34" i="1"/>
  <c r="AC34" i="1"/>
  <c r="Z34" i="1"/>
  <c r="Y34" i="1"/>
  <c r="X34" i="1"/>
  <c r="W34" i="1" s="1"/>
  <c r="T34" i="1" s="1"/>
  <c r="P34" i="1"/>
  <c r="P31" i="1"/>
  <c r="P28" i="1"/>
  <c r="P19" i="1"/>
  <c r="W152" i="1" l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6" i="5"/>
  <c r="H76" i="5"/>
  <c r="G76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0" i="5"/>
  <c r="I74" i="5"/>
  <c r="H74" i="5"/>
  <c r="G74" i="5"/>
  <c r="G72" i="5"/>
  <c r="O72" i="5" s="1"/>
  <c r="G66" i="5"/>
  <c r="AD237" i="1"/>
  <c r="AC237" i="1"/>
  <c r="Y237" i="1"/>
  <c r="X237" i="1"/>
  <c r="W237" i="1" l="1"/>
  <c r="T237" i="1" s="1"/>
  <c r="AB237" i="1"/>
  <c r="U237" i="1" s="1"/>
  <c r="X16" i="2"/>
  <c r="H18" i="7" l="1"/>
  <c r="G18" i="7"/>
  <c r="I132" i="5" l="1"/>
  <c r="H132" i="5"/>
  <c r="J18" i="7" l="1"/>
  <c r="N11" i="7" l="1"/>
  <c r="L11" i="7"/>
  <c r="N13" i="7"/>
  <c r="L13" i="7"/>
  <c r="Q138" i="5" l="1"/>
  <c r="Q45" i="5" l="1"/>
  <c r="I53" i="5"/>
  <c r="I54" i="5" s="1"/>
  <c r="H53" i="5"/>
  <c r="H54" i="5" s="1"/>
  <c r="G53" i="5"/>
  <c r="G54" i="5" s="1"/>
  <c r="N165" i="5" l="1"/>
  <c r="M140" i="5" l="1"/>
  <c r="N140" i="5"/>
  <c r="O140" i="5"/>
  <c r="Q140" i="5"/>
  <c r="N112" i="5"/>
  <c r="N109" i="5"/>
  <c r="N89" i="5"/>
  <c r="N61" i="5"/>
  <c r="M48" i="5"/>
  <c r="N48" i="5"/>
  <c r="Q48" i="5"/>
  <c r="N46" i="5"/>
  <c r="N43" i="5"/>
  <c r="N31" i="5"/>
  <c r="N28" i="5"/>
  <c r="M19" i="5"/>
  <c r="N19" i="5"/>
  <c r="Q19" i="5"/>
  <c r="T140" i="5" l="1"/>
  <c r="U140" i="5" s="1"/>
  <c r="V140" i="5" s="1"/>
  <c r="O48" i="5"/>
  <c r="T48" i="5" s="1"/>
  <c r="U48" i="5" s="1"/>
  <c r="V48" i="5" s="1"/>
  <c r="O19" i="5"/>
  <c r="T19" i="5" s="1"/>
  <c r="U19" i="5" s="1"/>
  <c r="V19" i="5" s="1"/>
  <c r="H142" i="5" l="1"/>
  <c r="H143" i="5" s="1"/>
  <c r="I142" i="5"/>
  <c r="I143" i="5" s="1"/>
  <c r="G142" i="5"/>
  <c r="O142" i="5" s="1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P49" i="1"/>
  <c r="I28" i="1"/>
  <c r="H28" i="1"/>
  <c r="I39" i="1"/>
  <c r="H39" i="1"/>
  <c r="G39" i="1"/>
  <c r="Z28" i="1" l="1"/>
  <c r="X28" i="1"/>
  <c r="Y28" i="1"/>
  <c r="AD28" i="1"/>
  <c r="AE28" i="1"/>
  <c r="AC28" i="1"/>
  <c r="H111" i="1"/>
  <c r="Q143" i="5"/>
  <c r="N138" i="5"/>
  <c r="H32" i="5"/>
  <c r="G22" i="5"/>
  <c r="G164" i="5"/>
  <c r="I151" i="5"/>
  <c r="I155" i="5" s="1"/>
  <c r="H151" i="5"/>
  <c r="I152" i="5"/>
  <c r="H152" i="5"/>
  <c r="G152" i="5"/>
  <c r="I150" i="5"/>
  <c r="H150" i="5"/>
  <c r="G150" i="5"/>
  <c r="AB28" i="1" l="1"/>
  <c r="U28" i="1" s="1"/>
  <c r="W28" i="1"/>
  <c r="T28" i="1" s="1"/>
  <c r="H155" i="5"/>
  <c r="H22" i="5"/>
  <c r="I22" i="5"/>
  <c r="I90" i="5"/>
  <c r="H90" i="5"/>
  <c r="G90" i="5"/>
  <c r="I72" i="5"/>
  <c r="H72" i="5"/>
  <c r="I70" i="5"/>
  <c r="H70" i="5"/>
  <c r="I62" i="5"/>
  <c r="H62" i="5"/>
  <c r="I63" i="5"/>
  <c r="N72" i="5" l="1"/>
  <c r="H63" i="5"/>
  <c r="G23" i="5" l="1"/>
  <c r="L40" i="5" l="1"/>
  <c r="G154" i="1"/>
  <c r="CW18" i="7" l="1"/>
  <c r="CU10" i="7" s="1"/>
  <c r="CR18" i="7" l="1"/>
  <c r="CP10" i="7" s="1"/>
  <c r="CW9" i="7" s="1"/>
  <c r="U21" i="4" l="1"/>
  <c r="H15" i="4" l="1"/>
  <c r="H19" i="4"/>
  <c r="H17" i="4"/>
  <c r="H20" i="4" l="1"/>
  <c r="N186" i="5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N16" i="7"/>
  <c r="CJ13" i="7"/>
  <c r="CE16" i="7"/>
  <c r="CE13" i="7"/>
  <c r="CE15" i="7"/>
  <c r="CE14" i="7"/>
  <c r="CE12" i="7"/>
  <c r="CE11" i="7"/>
  <c r="CF18" i="7"/>
  <c r="CD16" i="7"/>
  <c r="CD15" i="7"/>
  <c r="CD14" i="7"/>
  <c r="CF14" i="7" s="1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EB15" i="7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T17" i="7" s="1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M12" i="7" s="1"/>
  <c r="II9" i="7"/>
  <c r="IH11" i="7" s="1"/>
  <c r="HX9" i="7"/>
  <c r="DQ9" i="7"/>
  <c r="CA9" i="7"/>
  <c r="CA10" i="7" s="1"/>
  <c r="BQ9" i="7"/>
  <c r="BW9" i="7" s="1"/>
  <c r="BW10" i="7" s="1"/>
  <c r="BF9" i="7"/>
  <c r="HE28" i="7" l="1"/>
  <c r="H21" i="4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AY19" i="7" s="1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CN17" i="7"/>
  <c r="HC32" i="7"/>
  <c r="GV53" i="7"/>
  <c r="CF11" i="7"/>
  <c r="CF17" i="7" s="1"/>
  <c r="L33" i="7"/>
  <c r="IT12" i="7"/>
  <c r="HI11" i="7"/>
  <c r="HM11" i="7"/>
  <c r="HN11" i="7" s="1"/>
  <c r="IF12" i="7"/>
  <c r="DF16" i="7"/>
  <c r="DF13" i="7"/>
  <c r="EB13" i="7"/>
  <c r="EY16" i="7"/>
  <c r="HD11" i="7"/>
  <c r="HW11" i="7" s="1"/>
  <c r="EI14" i="7"/>
  <c r="EI16" i="7" s="1"/>
  <c r="EG13" i="7"/>
  <c r="GC13" i="7"/>
  <c r="JI13" i="7"/>
  <c r="JH14" i="7"/>
  <c r="DO16" i="7"/>
  <c r="DO13" i="7"/>
  <c r="BJ12" i="7"/>
  <c r="BK12" i="7" s="1"/>
  <c r="EN13" i="7"/>
  <c r="FE14" i="7"/>
  <c r="FD13" i="7"/>
  <c r="HH13" i="7"/>
  <c r="HD13" i="7"/>
  <c r="GU16" i="7"/>
  <c r="HC16" i="7" s="1"/>
  <c r="HC15" i="7"/>
  <c r="JG17" i="7"/>
  <c r="JI11" i="7"/>
  <c r="DX14" i="7"/>
  <c r="DX15" i="7" s="1"/>
  <c r="DX17" i="7" s="1"/>
  <c r="DY17" i="7" s="1"/>
  <c r="HC14" i="7"/>
  <c r="FK15" i="7"/>
  <c r="FQ15" i="7"/>
  <c r="JI16" i="7"/>
  <c r="EP19" i="7"/>
  <c r="FE16" i="7"/>
  <c r="JY19" i="7"/>
  <c r="JZ19" i="7" s="1"/>
  <c r="BH29" i="7"/>
  <c r="N18" i="7"/>
  <c r="GX51" i="7"/>
  <c r="KA18" i="7"/>
  <c r="FM20" i="7"/>
  <c r="BH30" i="7"/>
  <c r="L18" i="7"/>
  <c r="U80" i="1"/>
  <c r="T80" i="1"/>
  <c r="AU19" i="7" l="1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E19" i="8"/>
  <c r="CE17" i="7"/>
  <c r="CR9" i="7"/>
  <c r="CR10" i="7" s="1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K17" i="7"/>
  <c r="CM17" i="7"/>
  <c r="CI17" i="7"/>
  <c r="FA19" i="7"/>
  <c r="CF19" i="7"/>
  <c r="DH19" i="7"/>
  <c r="GU61" i="7"/>
  <c r="HG14" i="7"/>
  <c r="HD30" i="7"/>
  <c r="HD31" i="7" s="1"/>
  <c r="HE31" i="7" s="1"/>
  <c r="GC19" i="7"/>
  <c r="GA17" i="7"/>
  <c r="ED19" i="7"/>
  <c r="JH16" i="7"/>
  <c r="JK16" i="7"/>
  <c r="FQ16" i="7"/>
  <c r="FR15" i="7"/>
  <c r="FS15" i="7" s="1"/>
  <c r="HH14" i="7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L24" i="7" l="1"/>
  <c r="E22" i="8"/>
  <c r="CQ12" i="7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H17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G17" i="7" l="1"/>
  <c r="BH19" i="7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CW17" i="7" l="1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05" i="5" l="1"/>
  <c r="Q105" i="5"/>
  <c r="N105" i="5" l="1"/>
  <c r="O105" i="5"/>
  <c r="F127" i="5"/>
  <c r="M123" i="5"/>
  <c r="N123" i="5"/>
  <c r="M122" i="5"/>
  <c r="N122" i="5"/>
  <c r="K104" i="5"/>
  <c r="M104" i="5" s="1"/>
  <c r="K109" i="5"/>
  <c r="O109" i="5" s="1"/>
  <c r="N104" i="5"/>
  <c r="F103" i="5"/>
  <c r="T105" i="5" l="1"/>
  <c r="U105" i="5" s="1"/>
  <c r="V105" i="5" s="1"/>
  <c r="O122" i="5"/>
  <c r="Q122" i="5"/>
  <c r="O123" i="5"/>
  <c r="Q123" i="5"/>
  <c r="O104" i="5"/>
  <c r="Q104" i="5"/>
  <c r="T104" i="5" l="1"/>
  <c r="U104" i="5" s="1"/>
  <c r="V104" i="5" s="1"/>
  <c r="T123" i="5"/>
  <c r="U123" i="5" s="1"/>
  <c r="V123" i="5" s="1"/>
  <c r="T122" i="5"/>
  <c r="U122" i="5" s="1"/>
  <c r="V122" i="5" s="1"/>
  <c r="F116" i="5"/>
  <c r="F109" i="5"/>
  <c r="N16" i="5" l="1"/>
  <c r="G172" i="5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K171" i="5" l="1"/>
  <c r="O171" i="5" s="1"/>
  <c r="O138" i="5"/>
  <c r="T138" i="5" s="1"/>
  <c r="M109" i="5"/>
  <c r="K112" i="5"/>
  <c r="K111" i="5"/>
  <c r="K103" i="5"/>
  <c r="K108" i="5"/>
  <c r="Q109" i="5" l="1"/>
  <c r="T109" i="5" l="1"/>
  <c r="U109" i="5" s="1"/>
  <c r="V109" i="5" s="1"/>
  <c r="K58" i="5"/>
  <c r="K57" i="5"/>
  <c r="M57" i="5" s="1"/>
  <c r="I66" i="5"/>
  <c r="H66" i="5"/>
  <c r="N58" i="5"/>
  <c r="N57" i="5"/>
  <c r="M58" i="5" l="1"/>
  <c r="O58" i="5"/>
  <c r="Q58" i="5"/>
  <c r="Q57" i="5"/>
  <c r="O57" i="5"/>
  <c r="T58" i="5" l="1"/>
  <c r="U58" i="5" s="1"/>
  <c r="V58" i="5" s="1"/>
  <c r="T57" i="5"/>
  <c r="U57" i="5" s="1"/>
  <c r="V57" i="5" l="1"/>
  <c r="K30" i="5" l="1"/>
  <c r="K29" i="5"/>
  <c r="K28" i="5"/>
  <c r="N14" i="5" l="1"/>
  <c r="O20" i="5"/>
  <c r="I164" i="5" l="1"/>
  <c r="H164" i="5"/>
  <c r="F175" i="5"/>
  <c r="V175" i="5"/>
  <c r="U175" i="5"/>
  <c r="T175" i="5"/>
  <c r="T174" i="5"/>
  <c r="F158" i="5"/>
  <c r="F84" i="5"/>
  <c r="V158" i="5"/>
  <c r="U158" i="5"/>
  <c r="T158" i="5"/>
  <c r="C19" i="4" s="1"/>
  <c r="T157" i="5"/>
  <c r="F132" i="5"/>
  <c r="V132" i="5"/>
  <c r="U132" i="5"/>
  <c r="T132" i="5"/>
  <c r="C17" i="4" s="1"/>
  <c r="T131" i="5"/>
  <c r="F152" i="5"/>
  <c r="C20" i="4" l="1"/>
  <c r="F172" i="5"/>
  <c r="F93" i="5"/>
  <c r="F96" i="5"/>
  <c r="F88" i="5"/>
  <c r="T83" i="5"/>
  <c r="F22" i="5"/>
  <c r="F77" i="5" l="1"/>
  <c r="F73" i="5"/>
  <c r="F66" i="5"/>
  <c r="E22" i="5"/>
  <c r="F81" i="5" l="1"/>
  <c r="Z17" i="4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H37" i="1"/>
  <c r="I37" i="1"/>
  <c r="E37" i="1"/>
  <c r="J34" i="1"/>
  <c r="R34" i="1" l="1"/>
  <c r="G37" i="1"/>
  <c r="O34" i="1"/>
  <c r="N34" i="1" s="1"/>
  <c r="M79" i="5" l="1"/>
  <c r="H81" i="5"/>
  <c r="I81" i="5"/>
  <c r="E81" i="5"/>
  <c r="N79" i="5"/>
  <c r="T79" i="5" s="1"/>
  <c r="U79" i="5" s="1"/>
  <c r="V79" i="5" s="1"/>
  <c r="N71" i="5"/>
  <c r="M71" i="5"/>
  <c r="O79" i="5" l="1"/>
  <c r="Q79" i="5"/>
  <c r="O71" i="5"/>
  <c r="Q71" i="5"/>
  <c r="H172" i="5"/>
  <c r="I172" i="5"/>
  <c r="E172" i="5"/>
  <c r="N164" i="5"/>
  <c r="M164" i="5"/>
  <c r="N152" i="5"/>
  <c r="M152" i="5"/>
  <c r="E155" i="5"/>
  <c r="F155" i="5"/>
  <c r="K110" i="5"/>
  <c r="O126" i="5"/>
  <c r="M126" i="5"/>
  <c r="N126" i="5"/>
  <c r="E129" i="5"/>
  <c r="N114" i="5"/>
  <c r="M114" i="5"/>
  <c r="M89" i="5"/>
  <c r="F97" i="5"/>
  <c r="H97" i="5"/>
  <c r="H98" i="5" s="1"/>
  <c r="I97" i="5"/>
  <c r="E97" i="5"/>
  <c r="Q89" i="5"/>
  <c r="M61" i="5"/>
  <c r="Q61" i="5"/>
  <c r="M44" i="5"/>
  <c r="N44" i="5"/>
  <c r="M33" i="5"/>
  <c r="M34" i="5"/>
  <c r="Q33" i="5"/>
  <c r="I33" i="5"/>
  <c r="Q34" i="5"/>
  <c r="M39" i="5"/>
  <c r="P39" i="5"/>
  <c r="R39" i="5"/>
  <c r="N33" i="5" l="1"/>
  <c r="O114" i="5"/>
  <c r="T71" i="5"/>
  <c r="U71" i="5" s="1"/>
  <c r="V71" i="5" s="1"/>
  <c r="O164" i="5"/>
  <c r="Q164" i="5"/>
  <c r="O152" i="5"/>
  <c r="Q152" i="5"/>
  <c r="Q126" i="5"/>
  <c r="T126" i="5" s="1"/>
  <c r="U126" i="5" s="1"/>
  <c r="V126" i="5" s="1"/>
  <c r="Q114" i="5"/>
  <c r="T61" i="5"/>
  <c r="U61" i="5" s="1"/>
  <c r="V61" i="5" s="1"/>
  <c r="O44" i="5"/>
  <c r="Q44" i="5"/>
  <c r="O33" i="5"/>
  <c r="N34" i="5"/>
  <c r="O34" i="5"/>
  <c r="E63" i="5"/>
  <c r="E59" i="5"/>
  <c r="Q139" i="5"/>
  <c r="N139" i="5"/>
  <c r="O139" i="5"/>
  <c r="F136" i="5"/>
  <c r="F143" i="5" s="1"/>
  <c r="E136" i="5"/>
  <c r="E143" i="5" s="1"/>
  <c r="T114" i="5" l="1"/>
  <c r="U114" i="5" s="1"/>
  <c r="V114" i="5" s="1"/>
  <c r="E66" i="5"/>
  <c r="T139" i="5"/>
  <c r="U139" i="5" s="1"/>
  <c r="V139" i="5" s="1"/>
  <c r="T89" i="5"/>
  <c r="U89" i="5" s="1"/>
  <c r="V89" i="5" s="1"/>
  <c r="T152" i="5"/>
  <c r="U152" i="5" s="1"/>
  <c r="V152" i="5" s="1"/>
  <c r="T164" i="5"/>
  <c r="U164" i="5" s="1"/>
  <c r="V164" i="5" s="1"/>
  <c r="T44" i="5"/>
  <c r="U44" i="5" s="1"/>
  <c r="V44" i="5" s="1"/>
  <c r="T33" i="5"/>
  <c r="V33" i="5"/>
  <c r="U33" i="5"/>
  <c r="U34" i="5"/>
  <c r="T34" i="5"/>
  <c r="V34" i="5"/>
  <c r="M139" i="5"/>
  <c r="E45" i="5"/>
  <c r="E43" i="5"/>
  <c r="E35" i="5"/>
  <c r="E39" i="5" l="1"/>
  <c r="E53" i="5"/>
  <c r="F53" i="5"/>
  <c r="AK11" i="4" l="1"/>
  <c r="M66" i="5" l="1"/>
  <c r="AG27" i="5"/>
  <c r="AF28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73" i="5" l="1"/>
  <c r="M172" i="5"/>
  <c r="I173" i="5"/>
  <c r="H173" i="5"/>
  <c r="M171" i="5"/>
  <c r="K170" i="5"/>
  <c r="M170" i="5" s="1"/>
  <c r="G170" i="5"/>
  <c r="K169" i="5"/>
  <c r="M169" i="5" s="1"/>
  <c r="G169" i="5"/>
  <c r="K168" i="5"/>
  <c r="M168" i="5" s="1"/>
  <c r="G168" i="5"/>
  <c r="M167" i="5"/>
  <c r="N167" i="5"/>
  <c r="M166" i="5"/>
  <c r="M165" i="5"/>
  <c r="M163" i="5"/>
  <c r="M162" i="5"/>
  <c r="R161" i="5"/>
  <c r="P161" i="5"/>
  <c r="M160" i="5"/>
  <c r="M156" i="5"/>
  <c r="R155" i="5"/>
  <c r="M155" i="5"/>
  <c r="I156" i="5"/>
  <c r="H156" i="5"/>
  <c r="M154" i="5"/>
  <c r="M153" i="5"/>
  <c r="M150" i="5"/>
  <c r="Q150" i="5"/>
  <c r="M149" i="5"/>
  <c r="M147" i="5"/>
  <c r="Q147" i="5"/>
  <c r="R146" i="5"/>
  <c r="P146" i="5"/>
  <c r="M145" i="5"/>
  <c r="M144" i="5"/>
  <c r="M143" i="5"/>
  <c r="I144" i="5"/>
  <c r="H144" i="5"/>
  <c r="M142" i="5"/>
  <c r="M141" i="5"/>
  <c r="Q141" i="5"/>
  <c r="M138" i="5"/>
  <c r="K136" i="5"/>
  <c r="M136" i="5" s="1"/>
  <c r="M134" i="5"/>
  <c r="M130" i="5"/>
  <c r="M129" i="5"/>
  <c r="M128" i="5"/>
  <c r="O128" i="5"/>
  <c r="M127" i="5"/>
  <c r="O127" i="5"/>
  <c r="M125" i="5"/>
  <c r="O125" i="5"/>
  <c r="M124" i="5"/>
  <c r="M121" i="5"/>
  <c r="Q121" i="5"/>
  <c r="M120" i="5"/>
  <c r="Q120" i="5"/>
  <c r="M119" i="5"/>
  <c r="M118" i="5"/>
  <c r="O118" i="5"/>
  <c r="M117" i="5"/>
  <c r="M116" i="5"/>
  <c r="M115" i="5"/>
  <c r="M113" i="5"/>
  <c r="Q113" i="5"/>
  <c r="M112" i="5"/>
  <c r="M111" i="5"/>
  <c r="M110" i="5"/>
  <c r="Q110" i="5"/>
  <c r="M108" i="5"/>
  <c r="M107" i="5"/>
  <c r="I129" i="5"/>
  <c r="I130" i="5" s="1"/>
  <c r="H129" i="5"/>
  <c r="F107" i="5"/>
  <c r="F129" i="5" s="1"/>
  <c r="M106" i="5"/>
  <c r="Q106" i="5"/>
  <c r="M103" i="5"/>
  <c r="K102" i="5"/>
  <c r="M102" i="5" s="1"/>
  <c r="K101" i="5"/>
  <c r="M101" i="5" s="1"/>
  <c r="S100" i="5"/>
  <c r="R100" i="5"/>
  <c r="P100" i="5"/>
  <c r="M99" i="5"/>
  <c r="M98" i="5"/>
  <c r="M97" i="5"/>
  <c r="I98" i="5"/>
  <c r="M96" i="5"/>
  <c r="O96" i="5"/>
  <c r="M95" i="5"/>
  <c r="O95" i="5"/>
  <c r="M94" i="5"/>
  <c r="O94" i="5"/>
  <c r="M93" i="5"/>
  <c r="O93" i="5"/>
  <c r="M92" i="5"/>
  <c r="M91" i="5"/>
  <c r="N91" i="5"/>
  <c r="M90" i="5"/>
  <c r="G97" i="5"/>
  <c r="M88" i="5"/>
  <c r="M86" i="5"/>
  <c r="M82" i="5"/>
  <c r="M81" i="5"/>
  <c r="N81" i="5"/>
  <c r="M80" i="5"/>
  <c r="M78" i="5"/>
  <c r="Q78" i="5"/>
  <c r="M77" i="5"/>
  <c r="Q77" i="5"/>
  <c r="M76" i="5"/>
  <c r="M75" i="5"/>
  <c r="M74" i="5"/>
  <c r="M73" i="5"/>
  <c r="M72" i="5"/>
  <c r="M70" i="5"/>
  <c r="I82" i="5"/>
  <c r="H82" i="5"/>
  <c r="M68" i="5"/>
  <c r="M67" i="5"/>
  <c r="I67" i="5"/>
  <c r="H67" i="5"/>
  <c r="T65" i="5"/>
  <c r="U65" i="5" s="1"/>
  <c r="V65" i="5" s="1"/>
  <c r="K65" i="5"/>
  <c r="T64" i="5"/>
  <c r="U64" i="5" s="1"/>
  <c r="V64" i="5" s="1"/>
  <c r="K64" i="5"/>
  <c r="M63" i="5"/>
  <c r="O63" i="5"/>
  <c r="M62" i="5"/>
  <c r="M60" i="5"/>
  <c r="M59" i="5"/>
  <c r="R55" i="5"/>
  <c r="P55" i="5"/>
  <c r="M55" i="5"/>
  <c r="M54" i="5"/>
  <c r="M53" i="5"/>
  <c r="T52" i="5"/>
  <c r="U52" i="5" s="1"/>
  <c r="V52" i="5" s="1"/>
  <c r="K52" i="5"/>
  <c r="M52" i="5" s="1"/>
  <c r="T51" i="5"/>
  <c r="U51" i="5" s="1"/>
  <c r="V51" i="5" s="1"/>
  <c r="K51" i="5"/>
  <c r="M51" i="5" s="1"/>
  <c r="T50" i="5"/>
  <c r="U50" i="5" s="1"/>
  <c r="V50" i="5" s="1"/>
  <c r="K50" i="5"/>
  <c r="M50" i="5" s="1"/>
  <c r="M49" i="5"/>
  <c r="M47" i="5"/>
  <c r="M46" i="5"/>
  <c r="M45" i="5"/>
  <c r="M43" i="5"/>
  <c r="M41" i="5"/>
  <c r="M40" i="5"/>
  <c r="K38" i="5"/>
  <c r="M38" i="5" s="1"/>
  <c r="K37" i="5"/>
  <c r="M37" i="5" s="1"/>
  <c r="I37" i="5"/>
  <c r="H37" i="5"/>
  <c r="F37" i="5"/>
  <c r="K36" i="5"/>
  <c r="M36" i="5" s="1"/>
  <c r="Q36" i="5"/>
  <c r="M35" i="5"/>
  <c r="O35" i="5"/>
  <c r="M32" i="5"/>
  <c r="I32" i="5"/>
  <c r="F32" i="5"/>
  <c r="M31" i="5"/>
  <c r="I31" i="5"/>
  <c r="H31" i="5"/>
  <c r="Q31" i="5"/>
  <c r="M30" i="5"/>
  <c r="I30" i="5"/>
  <c r="H30" i="5"/>
  <c r="V29" i="5"/>
  <c r="M29" i="5"/>
  <c r="Q29" i="5"/>
  <c r="M28" i="5"/>
  <c r="S27" i="5"/>
  <c r="R27" i="5"/>
  <c r="R26" i="5" s="1"/>
  <c r="P27" i="5"/>
  <c r="P26" i="5" s="1"/>
  <c r="M26" i="5"/>
  <c r="T25" i="5"/>
  <c r="U25" i="5" s="1"/>
  <c r="V25" i="5" s="1"/>
  <c r="M25" i="5"/>
  <c r="T24" i="5"/>
  <c r="U24" i="5" s="1"/>
  <c r="V24" i="5" s="1"/>
  <c r="M24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O117" i="5" l="1"/>
  <c r="Q117" i="5"/>
  <c r="O76" i="5"/>
  <c r="Q74" i="5"/>
  <c r="G82" i="5"/>
  <c r="Q171" i="5"/>
  <c r="F39" i="5"/>
  <c r="I39" i="5"/>
  <c r="V39" i="5" s="1"/>
  <c r="O15" i="5"/>
  <c r="G156" i="5"/>
  <c r="O88" i="5"/>
  <c r="N90" i="5"/>
  <c r="O90" i="5"/>
  <c r="Q116" i="5"/>
  <c r="H39" i="5"/>
  <c r="O45" i="5"/>
  <c r="O115" i="5"/>
  <c r="N32" i="5"/>
  <c r="O32" i="5"/>
  <c r="O59" i="5"/>
  <c r="O66" i="5"/>
  <c r="O14" i="5"/>
  <c r="Q49" i="5"/>
  <c r="S23" i="5"/>
  <c r="O169" i="5"/>
  <c r="O170" i="5"/>
  <c r="O75" i="5"/>
  <c r="O162" i="5"/>
  <c r="O43" i="5"/>
  <c r="Q63" i="5"/>
  <c r="O108" i="5"/>
  <c r="O166" i="5"/>
  <c r="I23" i="5"/>
  <c r="V23" i="5" s="1"/>
  <c r="U22" i="5"/>
  <c r="H23" i="5"/>
  <c r="U23" i="5" s="1"/>
  <c r="AB10" i="5" s="1"/>
  <c r="O47" i="5"/>
  <c r="O70" i="5"/>
  <c r="O73" i="5"/>
  <c r="O92" i="5"/>
  <c r="O101" i="5"/>
  <c r="O102" i="5"/>
  <c r="O103" i="5"/>
  <c r="H130" i="5"/>
  <c r="O111" i="5"/>
  <c r="O112" i="5"/>
  <c r="O163" i="5"/>
  <c r="Q167" i="5"/>
  <c r="O80" i="5"/>
  <c r="Q80" i="5"/>
  <c r="O124" i="5"/>
  <c r="Q124" i="5"/>
  <c r="N74" i="5"/>
  <c r="N102" i="5"/>
  <c r="N106" i="5"/>
  <c r="N110" i="5"/>
  <c r="N113" i="5"/>
  <c r="Q127" i="5"/>
  <c r="N147" i="5"/>
  <c r="N154" i="5"/>
  <c r="N169" i="5"/>
  <c r="Q14" i="5"/>
  <c r="Q15" i="5"/>
  <c r="O17" i="5"/>
  <c r="N17" i="5"/>
  <c r="O18" i="5"/>
  <c r="Q20" i="5"/>
  <c r="O36" i="5"/>
  <c r="N36" i="5"/>
  <c r="O38" i="5"/>
  <c r="Q46" i="5"/>
  <c r="N49" i="5"/>
  <c r="O60" i="5"/>
  <c r="Q62" i="5"/>
  <c r="Q70" i="5"/>
  <c r="Q72" i="5"/>
  <c r="O77" i="5"/>
  <c r="Q90" i="5"/>
  <c r="Q91" i="5"/>
  <c r="Q95" i="5"/>
  <c r="Q101" i="5"/>
  <c r="Q102" i="5"/>
  <c r="O116" i="5"/>
  <c r="N116" i="5"/>
  <c r="O121" i="5"/>
  <c r="O141" i="5"/>
  <c r="N141" i="5"/>
  <c r="O150" i="5"/>
  <c r="N150" i="5"/>
  <c r="M151" i="5"/>
  <c r="Q154" i="5"/>
  <c r="Q165" i="5"/>
  <c r="O168" i="5"/>
  <c r="Q169" i="5"/>
  <c r="N171" i="5"/>
  <c r="R177" i="5"/>
  <c r="N15" i="5"/>
  <c r="N20" i="5"/>
  <c r="N62" i="5"/>
  <c r="N70" i="5"/>
  <c r="O78" i="5"/>
  <c r="Q93" i="5"/>
  <c r="N101" i="5"/>
  <c r="O120" i="5"/>
  <c r="Q37" i="5"/>
  <c r="O37" i="5"/>
  <c r="N37" i="5"/>
  <c r="Q136" i="5"/>
  <c r="N136" i="5"/>
  <c r="Q149" i="5"/>
  <c r="N149" i="5"/>
  <c r="Q73" i="5"/>
  <c r="N73" i="5"/>
  <c r="Q88" i="5"/>
  <c r="N88" i="5"/>
  <c r="Q103" i="5"/>
  <c r="N103" i="5"/>
  <c r="Q108" i="5"/>
  <c r="N108" i="5"/>
  <c r="Q112" i="5"/>
  <c r="Q119" i="5"/>
  <c r="N119" i="5"/>
  <c r="Q142" i="5"/>
  <c r="N142" i="5"/>
  <c r="Q151" i="5"/>
  <c r="N151" i="5"/>
  <c r="Q162" i="5"/>
  <c r="N162" i="5"/>
  <c r="Q163" i="5"/>
  <c r="N163" i="5"/>
  <c r="Q170" i="5"/>
  <c r="N170" i="5"/>
  <c r="O21" i="5"/>
  <c r="O29" i="5"/>
  <c r="Q32" i="5"/>
  <c r="N94" i="5"/>
  <c r="N118" i="5"/>
  <c r="N125" i="5"/>
  <c r="N18" i="5"/>
  <c r="Q18" i="5"/>
  <c r="N21" i="5"/>
  <c r="V22" i="5"/>
  <c r="Q28" i="5"/>
  <c r="N29" i="5"/>
  <c r="G30" i="5"/>
  <c r="G39" i="5" s="1"/>
  <c r="G40" i="5" s="1"/>
  <c r="N35" i="5"/>
  <c r="Q35" i="5"/>
  <c r="N38" i="5"/>
  <c r="Q38" i="5"/>
  <c r="Q43" i="5"/>
  <c r="N45" i="5"/>
  <c r="N47" i="5"/>
  <c r="Q47" i="5"/>
  <c r="O49" i="5"/>
  <c r="N59" i="5"/>
  <c r="Q59" i="5"/>
  <c r="N60" i="5"/>
  <c r="Q60" i="5"/>
  <c r="N63" i="5"/>
  <c r="O74" i="5"/>
  <c r="N80" i="5"/>
  <c r="T80" i="5" s="1"/>
  <c r="U80" i="5" s="1"/>
  <c r="V80" i="5" s="1"/>
  <c r="O91" i="5"/>
  <c r="N93" i="5"/>
  <c r="Q94" i="5"/>
  <c r="N95" i="5"/>
  <c r="Q96" i="5"/>
  <c r="G98" i="5"/>
  <c r="O106" i="5"/>
  <c r="O110" i="5"/>
  <c r="Q111" i="5"/>
  <c r="O113" i="5"/>
  <c r="N117" i="5"/>
  <c r="Q118" i="5"/>
  <c r="O119" i="5"/>
  <c r="N124" i="5"/>
  <c r="Q125" i="5"/>
  <c r="N127" i="5"/>
  <c r="Q128" i="5"/>
  <c r="O136" i="5"/>
  <c r="O147" i="5"/>
  <c r="O149" i="5"/>
  <c r="O167" i="5"/>
  <c r="Q75" i="5"/>
  <c r="N75" i="5"/>
  <c r="Q76" i="5"/>
  <c r="Q92" i="5"/>
  <c r="N92" i="5"/>
  <c r="Q115" i="5"/>
  <c r="N115" i="5"/>
  <c r="Q153" i="5"/>
  <c r="N153" i="5"/>
  <c r="Q166" i="5"/>
  <c r="N166" i="5"/>
  <c r="Q168" i="5"/>
  <c r="N168" i="5"/>
  <c r="O28" i="5"/>
  <c r="N96" i="5"/>
  <c r="N111" i="5"/>
  <c r="N128" i="5"/>
  <c r="G173" i="5"/>
  <c r="N77" i="5"/>
  <c r="T77" i="5" s="1"/>
  <c r="U77" i="5" s="1"/>
  <c r="V77" i="5" s="1"/>
  <c r="N78" i="5"/>
  <c r="T78" i="5" s="1"/>
  <c r="U78" i="5" s="1"/>
  <c r="V78" i="5" s="1"/>
  <c r="N120" i="5"/>
  <c r="N121" i="5"/>
  <c r="Q135" i="5" l="1"/>
  <c r="J18" i="4" s="1"/>
  <c r="Q13" i="5"/>
  <c r="T62" i="5"/>
  <c r="U62" i="5" s="1"/>
  <c r="V62" i="5" s="1"/>
  <c r="Q42" i="5"/>
  <c r="N13" i="5"/>
  <c r="O13" i="5"/>
  <c r="O12" i="5" s="1"/>
  <c r="U39" i="5"/>
  <c r="H40" i="5"/>
  <c r="G130" i="5"/>
  <c r="O100" i="5"/>
  <c r="N56" i="5"/>
  <c r="O56" i="5"/>
  <c r="O55" i="5" s="1"/>
  <c r="T117" i="5"/>
  <c r="U117" i="5" s="1"/>
  <c r="V117" i="5" s="1"/>
  <c r="T91" i="5"/>
  <c r="U91" i="5" s="1"/>
  <c r="V91" i="5" s="1"/>
  <c r="Q56" i="5"/>
  <c r="N76" i="5"/>
  <c r="T76" i="5" s="1"/>
  <c r="U76" i="5" s="1"/>
  <c r="V76" i="5" s="1"/>
  <c r="T167" i="5"/>
  <c r="U167" i="5" s="1"/>
  <c r="V167" i="5" s="1"/>
  <c r="V32" i="5"/>
  <c r="T72" i="5"/>
  <c r="U72" i="5" s="1"/>
  <c r="V72" i="5" s="1"/>
  <c r="U36" i="5"/>
  <c r="V36" i="5" s="1"/>
  <c r="T70" i="5"/>
  <c r="U40" i="5"/>
  <c r="T121" i="5"/>
  <c r="U121" i="5" s="1"/>
  <c r="V121" i="5" s="1"/>
  <c r="T154" i="5"/>
  <c r="U154" i="5" s="1"/>
  <c r="V154" i="5" s="1"/>
  <c r="Q40" i="5"/>
  <c r="O161" i="5"/>
  <c r="O160" i="5" s="1"/>
  <c r="O42" i="5"/>
  <c r="O41" i="5" s="1"/>
  <c r="I40" i="5"/>
  <c r="V40" i="5" s="1"/>
  <c r="G67" i="5"/>
  <c r="S67" i="5" s="1"/>
  <c r="G144" i="5"/>
  <c r="S144" i="5" s="1"/>
  <c r="O53" i="5"/>
  <c r="S54" i="5"/>
  <c r="E13" i="4" s="1"/>
  <c r="U31" i="5"/>
  <c r="O22" i="5"/>
  <c r="T20" i="5"/>
  <c r="U20" i="5" s="1"/>
  <c r="V20" i="5" s="1"/>
  <c r="T128" i="5"/>
  <c r="U128" i="5" s="1"/>
  <c r="V128" i="5" s="1"/>
  <c r="T96" i="5"/>
  <c r="U96" i="5" s="1"/>
  <c r="V96" i="5" s="1"/>
  <c r="T165" i="5"/>
  <c r="U165" i="5" s="1"/>
  <c r="V165" i="5" s="1"/>
  <c r="T127" i="5"/>
  <c r="U127" i="5" s="1"/>
  <c r="V127" i="5" s="1"/>
  <c r="T110" i="5"/>
  <c r="U110" i="5" s="1"/>
  <c r="V110" i="5" s="1"/>
  <c r="T95" i="5"/>
  <c r="U95" i="5" s="1"/>
  <c r="V95" i="5" s="1"/>
  <c r="T90" i="5"/>
  <c r="U90" i="5" s="1"/>
  <c r="V90" i="5" s="1"/>
  <c r="T32" i="5"/>
  <c r="N53" i="5"/>
  <c r="T141" i="5"/>
  <c r="T116" i="5"/>
  <c r="U116" i="5" s="1"/>
  <c r="V116" i="5" s="1"/>
  <c r="T36" i="5"/>
  <c r="T106" i="5"/>
  <c r="U106" i="5" s="1"/>
  <c r="V106" i="5" s="1"/>
  <c r="T102" i="5"/>
  <c r="U102" i="5" s="1"/>
  <c r="V102" i="5" s="1"/>
  <c r="T15" i="5"/>
  <c r="U15" i="5" s="1"/>
  <c r="V15" i="5" s="1"/>
  <c r="T120" i="5"/>
  <c r="U120" i="5" s="1"/>
  <c r="V120" i="5" s="1"/>
  <c r="T171" i="5"/>
  <c r="U171" i="5" s="1"/>
  <c r="V171" i="5" s="1"/>
  <c r="T124" i="5"/>
  <c r="U124" i="5" s="1"/>
  <c r="V124" i="5" s="1"/>
  <c r="T113" i="5"/>
  <c r="U113" i="5" s="1"/>
  <c r="V113" i="5" s="1"/>
  <c r="T93" i="5"/>
  <c r="U93" i="5" s="1"/>
  <c r="V93" i="5" s="1"/>
  <c r="O69" i="5"/>
  <c r="I15" i="4" s="1"/>
  <c r="T49" i="5"/>
  <c r="U49" i="5" s="1"/>
  <c r="V49" i="5" s="1"/>
  <c r="T29" i="5"/>
  <c r="T21" i="5"/>
  <c r="U21" i="5" s="1"/>
  <c r="V21" i="5" s="1"/>
  <c r="T101" i="5"/>
  <c r="U101" i="5" s="1"/>
  <c r="T150" i="5"/>
  <c r="U150" i="5" s="1"/>
  <c r="V150" i="5" s="1"/>
  <c r="T17" i="5"/>
  <c r="U17" i="5" s="1"/>
  <c r="V17" i="5" s="1"/>
  <c r="T46" i="5"/>
  <c r="U46" i="5" s="1"/>
  <c r="V46" i="5" s="1"/>
  <c r="M11" i="4"/>
  <c r="E11" i="4"/>
  <c r="T111" i="5"/>
  <c r="U111" i="5" s="1"/>
  <c r="V111" i="5" s="1"/>
  <c r="T168" i="5"/>
  <c r="U168" i="5" s="1"/>
  <c r="V168" i="5" s="1"/>
  <c r="T166" i="5"/>
  <c r="U166" i="5" s="1"/>
  <c r="V166" i="5" s="1"/>
  <c r="T153" i="5"/>
  <c r="U153" i="5" s="1"/>
  <c r="V153" i="5" s="1"/>
  <c r="T115" i="5"/>
  <c r="U115" i="5" s="1"/>
  <c r="V115" i="5" s="1"/>
  <c r="T92" i="5"/>
  <c r="U92" i="5" s="1"/>
  <c r="V92" i="5" s="1"/>
  <c r="T75" i="5"/>
  <c r="U75" i="5" s="1"/>
  <c r="V75" i="5" s="1"/>
  <c r="Q66" i="5"/>
  <c r="N22" i="5"/>
  <c r="Q22" i="5"/>
  <c r="Q53" i="5"/>
  <c r="N66" i="5"/>
  <c r="T66" i="5" s="1"/>
  <c r="Q69" i="5"/>
  <c r="J15" i="4" s="1"/>
  <c r="T63" i="5"/>
  <c r="U63" i="5" s="1"/>
  <c r="V63" i="5" s="1"/>
  <c r="T60" i="5"/>
  <c r="T45" i="5"/>
  <c r="U45" i="5" s="1"/>
  <c r="V45" i="5" s="1"/>
  <c r="T16" i="5"/>
  <c r="U16" i="5" s="1"/>
  <c r="V16" i="5" s="1"/>
  <c r="T170" i="5"/>
  <c r="U170" i="5" s="1"/>
  <c r="V170" i="5" s="1"/>
  <c r="T163" i="5"/>
  <c r="U163" i="5" s="1"/>
  <c r="V163" i="5" s="1"/>
  <c r="T151" i="5"/>
  <c r="U151" i="5" s="1"/>
  <c r="V151" i="5" s="1"/>
  <c r="T142" i="5"/>
  <c r="U142" i="5" s="1"/>
  <c r="V142" i="5" s="1"/>
  <c r="T112" i="5"/>
  <c r="U112" i="5" s="1"/>
  <c r="V112" i="5" s="1"/>
  <c r="T108" i="5"/>
  <c r="U108" i="5" s="1"/>
  <c r="V108" i="5" s="1"/>
  <c r="T73" i="5"/>
  <c r="U73" i="5" s="1"/>
  <c r="V73" i="5" s="1"/>
  <c r="T169" i="5"/>
  <c r="U169" i="5" s="1"/>
  <c r="V169" i="5" s="1"/>
  <c r="O87" i="5"/>
  <c r="O86" i="5" s="1"/>
  <c r="O172" i="5"/>
  <c r="N172" i="5"/>
  <c r="S173" i="5"/>
  <c r="Q172" i="5"/>
  <c r="Q155" i="5"/>
  <c r="O155" i="5"/>
  <c r="S156" i="5"/>
  <c r="N155" i="5"/>
  <c r="O97" i="5"/>
  <c r="Q97" i="5"/>
  <c r="N97" i="5"/>
  <c r="S98" i="5"/>
  <c r="U35" i="5"/>
  <c r="V35" i="5" s="1"/>
  <c r="T35" i="5"/>
  <c r="T31" i="5"/>
  <c r="V31" i="5"/>
  <c r="T28" i="5"/>
  <c r="T18" i="5"/>
  <c r="U18" i="5" s="1"/>
  <c r="V18" i="5" s="1"/>
  <c r="T136" i="5"/>
  <c r="N135" i="5"/>
  <c r="N143" i="5"/>
  <c r="O143" i="5"/>
  <c r="S12" i="5"/>
  <c r="T23" i="5"/>
  <c r="O146" i="5"/>
  <c r="O135" i="5"/>
  <c r="T74" i="5"/>
  <c r="T47" i="5"/>
  <c r="U47" i="5" s="1"/>
  <c r="V47" i="5" s="1"/>
  <c r="T125" i="5"/>
  <c r="U125" i="5" s="1"/>
  <c r="V125" i="5" s="1"/>
  <c r="Q161" i="5"/>
  <c r="T147" i="5"/>
  <c r="Q87" i="5"/>
  <c r="T149" i="5"/>
  <c r="U149" i="5" s="1"/>
  <c r="V149" i="5" s="1"/>
  <c r="U32" i="5"/>
  <c r="T59" i="5"/>
  <c r="T43" i="5"/>
  <c r="T42" i="5" s="1"/>
  <c r="N42" i="5"/>
  <c r="U38" i="5"/>
  <c r="T38" i="5"/>
  <c r="N30" i="5"/>
  <c r="N27" i="5" s="1"/>
  <c r="O30" i="5"/>
  <c r="O27" i="5" s="1"/>
  <c r="Q30" i="5"/>
  <c r="Q27" i="5" s="1"/>
  <c r="O81" i="5"/>
  <c r="Q81" i="5"/>
  <c r="S82" i="5"/>
  <c r="N161" i="5"/>
  <c r="T162" i="5"/>
  <c r="T88" i="5"/>
  <c r="N87" i="5"/>
  <c r="N107" i="5"/>
  <c r="N100" i="5" s="1"/>
  <c r="N99" i="5" s="1"/>
  <c r="Q107" i="5"/>
  <c r="Q100" i="5" s="1"/>
  <c r="J17" i="4" s="1"/>
  <c r="T37" i="5"/>
  <c r="U37" i="5"/>
  <c r="V37" i="5" s="1"/>
  <c r="T118" i="5"/>
  <c r="U118" i="5" s="1"/>
  <c r="V118" i="5" s="1"/>
  <c r="T94" i="5"/>
  <c r="U94" i="5" s="1"/>
  <c r="V94" i="5" s="1"/>
  <c r="N146" i="5"/>
  <c r="T119" i="5"/>
  <c r="U119" i="5" s="1"/>
  <c r="V119" i="5" s="1"/>
  <c r="T103" i="5"/>
  <c r="U103" i="5" s="1"/>
  <c r="V103" i="5" s="1"/>
  <c r="Q146" i="5"/>
  <c r="T14" i="5"/>
  <c r="Q134" i="5" l="1"/>
  <c r="Q12" i="5"/>
  <c r="T135" i="5"/>
  <c r="B18" i="4" s="1"/>
  <c r="T143" i="5"/>
  <c r="T13" i="5"/>
  <c r="Q186" i="5"/>
  <c r="U74" i="5"/>
  <c r="V74" i="5" s="1"/>
  <c r="T69" i="5"/>
  <c r="B15" i="4" s="1"/>
  <c r="U60" i="5"/>
  <c r="V60" i="5" s="1"/>
  <c r="T56" i="5"/>
  <c r="U138" i="5"/>
  <c r="V138" i="5" s="1"/>
  <c r="G20" i="4"/>
  <c r="N160" i="5"/>
  <c r="G19" i="4"/>
  <c r="N145" i="5"/>
  <c r="G17" i="4"/>
  <c r="N69" i="5"/>
  <c r="G15" i="4" s="1"/>
  <c r="U70" i="5"/>
  <c r="V70" i="5" s="1"/>
  <c r="U141" i="5"/>
  <c r="V141" i="5" s="1"/>
  <c r="I14" i="4"/>
  <c r="T53" i="5"/>
  <c r="U53" i="5" s="1"/>
  <c r="V53" i="5" s="1"/>
  <c r="S40" i="5"/>
  <c r="E12" i="4" s="1"/>
  <c r="G177" i="5"/>
  <c r="I20" i="4"/>
  <c r="N39" i="5"/>
  <c r="O39" i="5"/>
  <c r="Q39" i="5"/>
  <c r="O68" i="5"/>
  <c r="I16" i="4"/>
  <c r="I13" i="4"/>
  <c r="E14" i="4"/>
  <c r="S55" i="5"/>
  <c r="M14" i="4"/>
  <c r="T67" i="5"/>
  <c r="U67" i="5" s="1"/>
  <c r="AA56" i="5" s="1"/>
  <c r="T54" i="5"/>
  <c r="U54" i="5" s="1"/>
  <c r="AA42" i="5" s="1"/>
  <c r="M13" i="4"/>
  <c r="S41" i="5"/>
  <c r="U66" i="5"/>
  <c r="V66" i="5" s="1"/>
  <c r="Q145" i="5"/>
  <c r="X145" i="5" s="1"/>
  <c r="Y145" i="5" s="1"/>
  <c r="J19" i="4"/>
  <c r="Q68" i="5"/>
  <c r="X68" i="5" s="1"/>
  <c r="Y68" i="5" s="1"/>
  <c r="K15" i="4"/>
  <c r="D15" i="4"/>
  <c r="J12" i="4"/>
  <c r="Q86" i="5"/>
  <c r="AB86" i="5" s="1"/>
  <c r="AC86" i="5" s="1"/>
  <c r="J16" i="4"/>
  <c r="Q160" i="5"/>
  <c r="X160" i="5" s="1"/>
  <c r="Y160" i="5" s="1"/>
  <c r="J20" i="4"/>
  <c r="Q41" i="5"/>
  <c r="J13" i="4"/>
  <c r="Q55" i="5"/>
  <c r="X55" i="5" s="1"/>
  <c r="Y55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AB134" i="5"/>
  <c r="AC134" i="5" s="1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55" i="5"/>
  <c r="O99" i="5"/>
  <c r="I17" i="4"/>
  <c r="U14" i="5"/>
  <c r="U13" i="5" s="1"/>
  <c r="X134" i="5"/>
  <c r="Y134" i="5" s="1"/>
  <c r="O26" i="5"/>
  <c r="I12" i="4"/>
  <c r="U88" i="5"/>
  <c r="T87" i="5"/>
  <c r="B16" i="4" s="1"/>
  <c r="U43" i="5"/>
  <c r="U59" i="5"/>
  <c r="U56" i="5" s="1"/>
  <c r="T146" i="5"/>
  <c r="U147" i="5"/>
  <c r="O145" i="5"/>
  <c r="I19" i="4"/>
  <c r="N134" i="5"/>
  <c r="G18" i="4"/>
  <c r="N12" i="5"/>
  <c r="G11" i="4"/>
  <c r="P11" i="4" s="1"/>
  <c r="U28" i="5"/>
  <c r="V156" i="5"/>
  <c r="T156" i="5"/>
  <c r="S145" i="5"/>
  <c r="U156" i="5"/>
  <c r="AA146" i="5" s="1"/>
  <c r="V101" i="5"/>
  <c r="T30" i="5"/>
  <c r="U30" i="5" s="1"/>
  <c r="V30" i="5" s="1"/>
  <c r="T97" i="5"/>
  <c r="U97" i="5" s="1"/>
  <c r="V97" i="5" s="1"/>
  <c r="T172" i="5"/>
  <c r="S130" i="5"/>
  <c r="Q129" i="5"/>
  <c r="O129" i="5"/>
  <c r="N86" i="5"/>
  <c r="G16" i="4"/>
  <c r="U162" i="5"/>
  <c r="T161" i="5"/>
  <c r="T82" i="5"/>
  <c r="U82" i="5" s="1"/>
  <c r="S68" i="5"/>
  <c r="N41" i="5"/>
  <c r="G13" i="4"/>
  <c r="G14" i="4"/>
  <c r="N55" i="5"/>
  <c r="O134" i="5"/>
  <c r="I18" i="4"/>
  <c r="T144" i="5"/>
  <c r="U144" i="5" s="1"/>
  <c r="S134" i="5"/>
  <c r="U136" i="5"/>
  <c r="T98" i="5"/>
  <c r="U98" i="5" s="1"/>
  <c r="V98" i="5" s="1"/>
  <c r="S86" i="5"/>
  <c r="T173" i="5"/>
  <c r="U173" i="5" s="1"/>
  <c r="S160" i="5"/>
  <c r="T107" i="5"/>
  <c r="U107" i="5" s="1"/>
  <c r="V107" i="5" s="1"/>
  <c r="T81" i="5"/>
  <c r="W75" i="5"/>
  <c r="U143" i="5"/>
  <c r="V143" i="5" s="1"/>
  <c r="Y144" i="1"/>
  <c r="E148" i="1"/>
  <c r="U172" i="5" l="1"/>
  <c r="V172" i="5" s="1"/>
  <c r="T160" i="5"/>
  <c r="U155" i="5"/>
  <c r="V155" i="5" s="1"/>
  <c r="T145" i="5"/>
  <c r="U81" i="5"/>
  <c r="V81" i="5" s="1"/>
  <c r="T68" i="5"/>
  <c r="V69" i="5"/>
  <c r="T12" i="5"/>
  <c r="U69" i="5"/>
  <c r="Q26" i="5"/>
  <c r="Q187" i="5"/>
  <c r="Q188" i="5" s="1"/>
  <c r="AB41" i="5"/>
  <c r="AC41" i="5" s="1"/>
  <c r="V67" i="5"/>
  <c r="N68" i="5"/>
  <c r="B20" i="4"/>
  <c r="B19" i="4"/>
  <c r="T100" i="5"/>
  <c r="T40" i="5"/>
  <c r="S26" i="5"/>
  <c r="E154" i="1"/>
  <c r="V54" i="5"/>
  <c r="AB26" i="5"/>
  <c r="AC26" i="5" s="1"/>
  <c r="T39" i="5"/>
  <c r="K12" i="4"/>
  <c r="AB55" i="5"/>
  <c r="X86" i="5"/>
  <c r="Y86" i="5" s="1"/>
  <c r="AB145" i="5"/>
  <c r="AC145" i="5" s="1"/>
  <c r="AB160" i="5"/>
  <c r="AC160" i="5" s="1"/>
  <c r="AB68" i="5"/>
  <c r="AC68" i="5" s="1"/>
  <c r="X41" i="5"/>
  <c r="Y41" i="5" s="1"/>
  <c r="AD144" i="1"/>
  <c r="AE144" i="1"/>
  <c r="AC144" i="1"/>
  <c r="U100" i="5"/>
  <c r="V100" i="5"/>
  <c r="E17" i="4"/>
  <c r="M17" i="4"/>
  <c r="AB12" i="5"/>
  <c r="AC12" i="5" s="1"/>
  <c r="X12" i="5"/>
  <c r="Y12" i="5" s="1"/>
  <c r="T129" i="5"/>
  <c r="U129" i="5" s="1"/>
  <c r="V129" i="5" s="1"/>
  <c r="K17" i="4"/>
  <c r="D17" i="4"/>
  <c r="T55" i="5"/>
  <c r="B14" i="4"/>
  <c r="T41" i="5"/>
  <c r="B13" i="4"/>
  <c r="T178" i="5"/>
  <c r="Q178" i="5"/>
  <c r="V173" i="5"/>
  <c r="AA161" i="5"/>
  <c r="AA87" i="5"/>
  <c r="U135" i="5"/>
  <c r="U134" i="5" s="1"/>
  <c r="V136" i="5"/>
  <c r="V135" i="5" s="1"/>
  <c r="V144" i="5"/>
  <c r="AA135" i="5"/>
  <c r="V82" i="5"/>
  <c r="AA69" i="5"/>
  <c r="U161" i="5"/>
  <c r="U160" i="5" s="1"/>
  <c r="V162" i="5"/>
  <c r="V161" i="5" s="1"/>
  <c r="V160" i="5" s="1"/>
  <c r="V28" i="5"/>
  <c r="V27" i="5" s="1"/>
  <c r="V26" i="5" s="1"/>
  <c r="U27" i="5"/>
  <c r="U26" i="5" s="1"/>
  <c r="X28" i="5" s="1"/>
  <c r="N26" i="5"/>
  <c r="G12" i="4"/>
  <c r="T130" i="5"/>
  <c r="U130" i="5" s="1"/>
  <c r="S99" i="5"/>
  <c r="S177" i="5" s="1"/>
  <c r="V147" i="5"/>
  <c r="V146" i="5" s="1"/>
  <c r="U146" i="5"/>
  <c r="U145" i="5" s="1"/>
  <c r="V59" i="5"/>
  <c r="U55" i="5"/>
  <c r="U42" i="5"/>
  <c r="U41" i="5" s="1"/>
  <c r="V43" i="5"/>
  <c r="V42" i="5" s="1"/>
  <c r="V88" i="5"/>
  <c r="V87" i="5" s="1"/>
  <c r="V86" i="5" s="1"/>
  <c r="U87" i="5"/>
  <c r="U86" i="5" s="1"/>
  <c r="V14" i="5"/>
  <c r="U12" i="5"/>
  <c r="Q99" i="5"/>
  <c r="T86" i="5"/>
  <c r="T134" i="5"/>
  <c r="T27" i="5"/>
  <c r="O177" i="5"/>
  <c r="Y102" i="1"/>
  <c r="F106" i="1"/>
  <c r="F105" i="1"/>
  <c r="E106" i="1"/>
  <c r="E105" i="1"/>
  <c r="F73" i="1"/>
  <c r="E73" i="1"/>
  <c r="R49" i="1"/>
  <c r="V145" i="5" l="1"/>
  <c r="V68" i="5"/>
  <c r="Q177" i="5"/>
  <c r="Q190" i="5" s="1"/>
  <c r="X26" i="5"/>
  <c r="Y26" i="5" s="1"/>
  <c r="V13" i="5"/>
  <c r="V12" i="5" s="1"/>
  <c r="N177" i="5"/>
  <c r="U99" i="5"/>
  <c r="X101" i="5" s="1"/>
  <c r="T99" i="5"/>
  <c r="B17" i="4"/>
  <c r="V56" i="5"/>
  <c r="V55" i="5" s="1"/>
  <c r="V41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6" i="5"/>
  <c r="B12" i="4"/>
  <c r="V134" i="5"/>
  <c r="X14" i="5"/>
  <c r="X22" i="5" s="1"/>
  <c r="AA11" i="5"/>
  <c r="AB87" i="5"/>
  <c r="X90" i="5"/>
  <c r="X59" i="5"/>
  <c r="AB56" i="5"/>
  <c r="AB146" i="5"/>
  <c r="X150" i="5"/>
  <c r="AB99" i="5"/>
  <c r="AC99" i="5" s="1"/>
  <c r="X99" i="5"/>
  <c r="Y99" i="5" s="1"/>
  <c r="X43" i="5"/>
  <c r="AB42" i="5"/>
  <c r="V130" i="5"/>
  <c r="V99" i="5" s="1"/>
  <c r="AA100" i="5"/>
  <c r="X162" i="5"/>
  <c r="AB161" i="5"/>
  <c r="X136" i="5"/>
  <c r="AB135" i="5"/>
  <c r="AB100" i="5" l="1"/>
  <c r="AB102" i="1"/>
  <c r="U102" i="1" s="1"/>
  <c r="V177" i="5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I154" i="1"/>
  <c r="H154" i="1"/>
  <c r="K118" i="1"/>
  <c r="K110" i="1"/>
  <c r="K100" i="1"/>
  <c r="K78" i="1"/>
  <c r="K72" i="1"/>
  <c r="K60" i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K20" i="4" s="1"/>
  <c r="AE19" i="4"/>
  <c r="AG19" i="4" s="1"/>
  <c r="AD19" i="4"/>
  <c r="AK19" i="4" s="1"/>
  <c r="AE18" i="4"/>
  <c r="AG18" i="4" s="1"/>
  <c r="Z18" i="4"/>
  <c r="AD18" i="4" s="1"/>
  <c r="AK18" i="4" s="1"/>
  <c r="AE17" i="4"/>
  <c r="AG17" i="4" s="1"/>
  <c r="AD17" i="4"/>
  <c r="AE16" i="4"/>
  <c r="AG16" i="4" s="1"/>
  <c r="Z16" i="4"/>
  <c r="AD16" i="4" s="1"/>
  <c r="AK16" i="4" s="1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1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AM11" i="4" s="1"/>
  <c r="J21" i="4"/>
  <c r="L20" i="4"/>
  <c r="AM20" i="4" s="1"/>
  <c r="S18" i="4"/>
  <c r="X18" i="4" s="1"/>
  <c r="AA18" i="4" s="1"/>
  <c r="L15" i="4"/>
  <c r="AM15" i="4" s="1"/>
  <c r="P14" i="4"/>
  <c r="L13" i="4"/>
  <c r="AM13" i="4" s="1"/>
  <c r="L17" i="4"/>
  <c r="AM17" i="4" s="1"/>
  <c r="L19" i="4"/>
  <c r="N19" i="4" s="1"/>
  <c r="L14" i="4"/>
  <c r="P18" i="4"/>
  <c r="P15" i="4"/>
  <c r="Z21" i="4"/>
  <c r="AD11" i="4"/>
  <c r="AH21" i="4"/>
  <c r="AG21" i="4"/>
  <c r="AI21" i="4"/>
  <c r="N11" i="4" l="1"/>
  <c r="S14" i="4"/>
  <c r="X14" i="4" s="1"/>
  <c r="AA14" i="4" s="1"/>
  <c r="AM14" i="4"/>
  <c r="S20" i="4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AM12" i="4" s="1"/>
  <c r="P12" i="4"/>
  <c r="F19" i="4"/>
  <c r="B11" i="4"/>
  <c r="F20" i="4"/>
  <c r="F16" i="4"/>
  <c r="Y14" i="4" l="1"/>
  <c r="AM21" i="4"/>
  <c r="Y17" i="4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AF14" i="4"/>
  <c r="AH14" i="4" s="1"/>
  <c r="N27" i="4" l="1"/>
  <c r="N21" i="4"/>
  <c r="Z26" i="4" s="1"/>
  <c r="N25" i="4"/>
  <c r="Y11" i="4"/>
  <c r="X11" i="4"/>
  <c r="AB13" i="4"/>
  <c r="AA11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O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R111" i="1" s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O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P71" i="1" l="1"/>
  <c r="P73" i="1" s="1"/>
  <c r="P158" i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U162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P160" i="1"/>
  <c r="N158" i="1"/>
  <c r="N159" i="1"/>
  <c r="N184" i="1"/>
  <c r="O194" i="1"/>
  <c r="N194" i="1" s="1"/>
  <c r="T194" i="1" s="1"/>
  <c r="U194" i="1" s="1"/>
  <c r="O226" i="1"/>
  <c r="N228" i="1"/>
  <c r="R240" i="1"/>
  <c r="R258" i="1" s="1"/>
  <c r="R263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4" i="1"/>
  <c r="M358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R160" i="1" l="1"/>
  <c r="P90" i="1"/>
  <c r="J11" i="2" s="1"/>
  <c r="Q11" i="2" s="1"/>
  <c r="P82" i="1"/>
  <c r="R82" i="1"/>
  <c r="R90" i="1" s="1"/>
  <c r="R21" i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O334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O335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Q374" i="1" s="1"/>
  <c r="M346" i="1"/>
  <c r="M345" i="1"/>
  <c r="L318" i="1"/>
  <c r="O229" i="1"/>
  <c r="N371" i="1"/>
  <c r="O347" i="1"/>
  <c r="O214" i="1"/>
  <c r="L15" i="2" s="1"/>
  <c r="W15" i="2" s="1"/>
  <c r="O169" i="1"/>
  <c r="L14" i="2" s="1"/>
  <c r="W14" i="2" s="1"/>
  <c r="R197" i="1"/>
  <c r="R48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R12" i="2" l="1"/>
  <c r="AJ12" i="2"/>
  <c r="O316" i="1"/>
  <c r="P388" i="1"/>
  <c r="O90" i="1"/>
  <c r="N90" i="1" s="1"/>
  <c r="L10" i="2"/>
  <c r="W10" i="2" s="1"/>
  <c r="O48" i="1"/>
  <c r="N48" i="1" s="1"/>
  <c r="Y13" i="2"/>
  <c r="AO13" i="2" s="1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2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G12" i="2"/>
  <c r="O259" i="1"/>
  <c r="G11" i="2"/>
  <c r="S11" i="2" s="1"/>
  <c r="Z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Y16" i="2" s="1"/>
  <c r="T48" i="1"/>
  <c r="S12" i="2"/>
  <c r="Z12" i="2" s="1"/>
  <c r="AO16" i="2"/>
  <c r="S10" i="2"/>
  <c r="U130" i="1"/>
  <c r="Z13" i="2"/>
  <c r="AA13" i="2"/>
  <c r="T130" i="1"/>
  <c r="N259" i="1"/>
  <c r="M11" i="2"/>
  <c r="T217" i="1"/>
  <c r="U217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Z15" i="2"/>
  <c r="AB15" i="2"/>
  <c r="U259" i="1"/>
  <c r="AB14" i="2"/>
  <c r="AA14" i="2"/>
  <c r="Z14" i="2"/>
  <c r="AD13" i="2"/>
  <c r="T259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84" i="5"/>
  <c r="U68" i="5" s="1"/>
  <c r="X70" i="5" l="1"/>
  <c r="AB69" i="5"/>
  <c r="U177" i="5"/>
  <c r="V84" i="5"/>
  <c r="T84" i="5" l="1"/>
  <c r="C15" i="4" s="1"/>
  <c r="C21" i="4" s="1"/>
  <c r="T177" i="5" l="1"/>
  <c r="B21" i="4" l="1"/>
  <c r="F15" i="4"/>
  <c r="F21" i="4" s="1"/>
  <c r="AH15" i="4"/>
</calcChain>
</file>

<file path=xl/sharedStrings.xml><?xml version="1.0" encoding="utf-8"?>
<sst xmlns="http://schemas.openxmlformats.org/spreadsheetml/2006/main" count="2518" uniqueCount="645">
  <si>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</si>
  <si>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</si>
  <si>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</si>
  <si>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</si>
  <si>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</si>
  <si>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</si>
  <si>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</si>
  <si>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</si>
  <si>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</si>
  <si>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</si>
  <si>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</si>
  <si>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</si>
  <si>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</si>
  <si>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</si>
  <si>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</si>
  <si>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</si>
  <si>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</si>
  <si>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</si>
  <si>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</si>
  <si>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</si>
  <si>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</si>
  <si>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</si>
  <si>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</si>
  <si>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</si>
  <si>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</si>
  <si>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</si>
  <si>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</si>
  <si>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</si>
  <si>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</si>
  <si>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</si>
  <si>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</si>
  <si>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</si>
  <si>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</si>
  <si>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</si>
  <si>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</si>
  <si>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</si>
  <si>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</si>
  <si>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</si>
  <si>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</si>
  <si>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</si>
  <si>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</si>
  <si>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</si>
  <si>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</si>
  <si>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</si>
  <si>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</si>
  <si>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</si>
  <si>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</si>
  <si>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</si>
  <si>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</si>
  <si>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</si>
  <si>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</si>
  <si>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</si>
  <si>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</si>
  <si>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</si>
  <si>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</si>
  <si>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</si>
  <si>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</si>
  <si>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</si>
  <si>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</si>
  <si>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</si>
  <si>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</si>
  <si>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</si>
  <si>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</si>
  <si>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</si>
  <si>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</si>
  <si>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</si>
  <si>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</si>
  <si>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</si>
  <si>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</si>
  <si>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</si>
  <si>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</si>
  <si>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</si>
  <si>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</si>
  <si>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</si>
  <si>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</si>
  <si>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</si>
  <si>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</si>
  <si>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</si>
  <si>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</si>
  <si>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</si>
  <si>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</si>
  <si>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</si>
  <si>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</si>
  <si>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</si>
  <si>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</si>
  <si>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</si>
  <si>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</si>
  <si>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</si>
  <si>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</si>
  <si>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</si>
  <si>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</si>
  <si>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</si>
  <si>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</si>
  <si>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начального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</si>
  <si>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основного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</si>
  <si>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среднего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</si>
  <si>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</si>
  <si>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</si>
  <si>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</si>
  <si>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</si>
  <si>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</si>
  <si>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</si>
  <si>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</si>
  <si>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</si>
  <si>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</si>
  <si>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</si>
  <si>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</si>
  <si>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</si>
  <si>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</si>
  <si>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</si>
  <si>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</si>
  <si>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</si>
  <si>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</t>
    </r>
    <r>
      <rPr>
        <sz val="11"/>
        <color theme="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</si>
  <si>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</t>
    </r>
    <r>
      <rPr>
        <sz val="11"/>
        <color theme="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</si>
  <si>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основного </t>
    </r>
    <r>
      <rPr>
        <sz val="11"/>
        <color theme="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</si>
  <si>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</si>
  <si>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</si>
  <si>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</si>
  <si>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</si>
  <si>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</si>
  <si>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</si>
  <si>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</si>
  <si>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</si>
  <si>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</si>
  <si>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</si>
  <si>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</si>
  <si>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</si>
  <si>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</si>
  <si>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</si>
  <si>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</si>
  <si>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</si>
  <si>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</si>
  <si>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</si>
  <si>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</si>
  <si>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</si>
  <si>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</si>
  <si>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</si>
  <si>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</si>
  <si>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</si>
  <si>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</si>
  <si>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</si>
  <si>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</si>
  <si>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</si>
  <si>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</si>
  <si>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</si>
  <si>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</si>
  <si>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</si>
  <si>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</si>
  <si>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</si>
  <si>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</si>
  <si>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</si>
  <si>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</si>
  <si>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</si>
  <si>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</si>
  <si>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</si>
  <si>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</si>
  <si>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</si>
  <si>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</si>
  <si>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</si>
  <si>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</si>
  <si>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</si>
  <si>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</si>
  <si>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</si>
  <si>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</si>
  <si>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</si>
  <si>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</si>
  <si>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</si>
  <si>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</si>
  <si>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</si>
  <si>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</si>
  <si>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</si>
  <si>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</si>
  <si>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</si>
  <si>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</si>
  <si>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r>
      <t>Базовый норматив затрат на единицу объема, на</t>
    </r>
    <r>
      <rPr>
        <b/>
        <sz val="8"/>
        <color rgb="FFFF0000"/>
        <rFont val="Times New Roman"/>
        <family val="1"/>
        <charset val="204"/>
      </rPr>
      <t xml:space="preserve"> 26.01.22г.</t>
    </r>
  </si>
  <si>
    <r>
      <t xml:space="preserve">Нормативные затраты на оказание муницп-й услуги, на </t>
    </r>
    <r>
      <rPr>
        <b/>
        <sz val="8"/>
        <color rgb="FFFF0000"/>
        <rFont val="Times New Roman"/>
        <family val="1"/>
        <charset val="204"/>
      </rPr>
      <t>26.01.22г.</t>
    </r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</si>
  <si>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</si>
  <si>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</si>
  <si>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</si>
  <si>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</si>
  <si>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</si>
  <si>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</si>
  <si>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</si>
  <si>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</si>
  <si>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</si>
  <si>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</si>
  <si>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</si>
  <si>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</si>
  <si>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</si>
  <si>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</si>
  <si>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</si>
  <si>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</si>
  <si>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</si>
  <si>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</si>
  <si>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</si>
  <si>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</si>
  <si>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</si>
  <si>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</si>
  <si>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</si>
  <si>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</si>
  <si>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</si>
  <si>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</si>
  <si>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</si>
  <si>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</si>
  <si>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</si>
  <si>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</si>
  <si>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</si>
  <si>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</si>
  <si>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</si>
  <si>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</si>
  <si>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</si>
  <si>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</si>
  <si>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</si>
  <si>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</si>
  <si>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</si>
  <si>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</si>
  <si>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</si>
  <si>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</si>
  <si>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</si>
  <si>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</si>
  <si>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</si>
  <si>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</si>
  <si>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</si>
  <si>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</si>
  <si>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</si>
  <si>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</si>
  <si>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</si>
  <si>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</si>
  <si>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</si>
  <si>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Реализация дополнительных общеразвивающих программ (социально-гуманитарное направление) 804200О.99.0.ББ52АЖ24000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</si>
  <si>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</si>
  <si>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</si>
  <si>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</si>
  <si>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(физкультурно-спортивная) 804200О.99.0.ББ52АЕ52000</t>
  </si>
  <si>
    <t>Реализация дополнительных общеразвивающих программ (художественное направление) 804200О.99.0.ББ52АЕ76000</t>
  </si>
  <si>
    <t>чел/час</t>
  </si>
  <si>
    <t>Реализация дополнительных общеразвивающих программ (естественно-научное направление) 804200О.99.0.ББ52АЕ28000; 804200О.99.0.ББ52АЕ28000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</si>
  <si>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</si>
  <si>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</si>
  <si>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</si>
  <si>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</si>
  <si>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</si>
  <si>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</si>
  <si>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</si>
  <si>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</si>
  <si>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</si>
  <si>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</si>
  <si>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</si>
  <si>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</si>
  <si>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</si>
  <si>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</si>
  <si>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</si>
  <si>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</si>
  <si>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</si>
  <si>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</si>
  <si>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</si>
  <si>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</si>
  <si>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</si>
  <si>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</si>
  <si>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</si>
  <si>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</si>
  <si>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</si>
  <si>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</si>
  <si>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</si>
  <si>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</si>
  <si>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</si>
  <si>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</si>
  <si>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</si>
  <si>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</si>
  <si>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</si>
  <si>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</si>
  <si>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</si>
  <si>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</si>
  <si>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</si>
  <si>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</si>
  <si>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</si>
  <si>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</si>
  <si>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</si>
  <si>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</si>
  <si>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</si>
  <si>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</si>
  <si>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</si>
  <si>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</si>
  <si>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</si>
  <si>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</si>
  <si>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</si>
  <si>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</si>
  <si>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</si>
  <si>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</si>
  <si>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r>
      <rPr>
        <sz val="10"/>
        <color rgb="FF0070C0"/>
        <rFont val="Times New Roman"/>
        <family val="1"/>
        <charset val="204"/>
      </rPr>
      <t>Услуга сверх МЗ</t>
    </r>
    <r>
      <rPr>
        <sz val="10"/>
        <rFont val="Times New Roman"/>
        <family val="1"/>
        <charset val="204"/>
      </rPr>
      <t xml:space="preserve"> присмотр и уход (за счет родительской платы)</t>
    </r>
  </si>
  <si>
    <t>в том числе:</t>
  </si>
  <si>
    <t>в том числе по услугам:</t>
  </si>
  <si>
    <r>
      <t xml:space="preserve">присмотр и уход за счет местного бюджета </t>
    </r>
    <r>
      <rPr>
        <i/>
        <sz val="6"/>
        <color rgb="FF0070C0"/>
        <rFont val="Times New Roman"/>
        <family val="1"/>
        <charset val="204"/>
      </rPr>
      <t xml:space="preserve"> </t>
    </r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</si>
  <si>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</si>
  <si>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</si>
  <si>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</si>
  <si>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</si>
  <si>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</si>
  <si>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</si>
  <si>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</si>
  <si>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</si>
  <si>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</si>
  <si>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</si>
  <si>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</si>
  <si>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</si>
  <si>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</si>
  <si>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</si>
  <si>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</si>
  <si>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</si>
  <si>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</si>
  <si>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</si>
  <si>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</si>
  <si>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</si>
  <si>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 общего</t>
    </r>
    <r>
      <rPr>
        <sz val="11"/>
        <color theme="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</si>
  <si>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</t>
    </r>
    <r>
      <rPr>
        <sz val="11"/>
        <color theme="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</si>
  <si>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 общего</t>
    </r>
    <r>
      <rPr>
        <sz val="11"/>
        <color theme="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</si>
  <si>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</si>
  <si>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</si>
  <si>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среднего </t>
    </r>
    <r>
      <rPr>
        <sz val="11"/>
        <color theme="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</si>
  <si>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</si>
  <si>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</si>
  <si>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</si>
  <si>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</si>
  <si>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</si>
  <si>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</si>
  <si>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</si>
  <si>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</si>
  <si>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</si>
  <si>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</si>
  <si>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</si>
  <si>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</si>
  <si>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</si>
  <si>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</si>
  <si>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</si>
  <si>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</si>
  <si>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</si>
  <si>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</si>
  <si>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</si>
  <si>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</si>
  <si>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</si>
  <si>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</si>
  <si>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</si>
  <si>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</si>
  <si>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</si>
  <si>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</si>
  <si>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</si>
  <si>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</si>
  <si>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</si>
  <si>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</si>
  <si>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</si>
  <si>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</si>
  <si>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</si>
  <si>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</si>
  <si>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</si>
  <si>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</si>
  <si>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</si>
  <si>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</si>
  <si>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от 3 до 8 лет (b8) t8/псих.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</si>
  <si>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</si>
  <si>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</si>
  <si>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</si>
  <si>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</si>
  <si>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</si>
  <si>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</si>
  <si>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</si>
  <si>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</si>
  <si>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</si>
  <si>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</si>
  <si>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</si>
  <si>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</si>
  <si>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</si>
  <si>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</si>
  <si>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</si>
  <si>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</si>
  <si>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</si>
  <si>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</si>
  <si>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</si>
  <si>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</si>
  <si>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</si>
  <si>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</si>
  <si>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</si>
  <si>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</si>
  <si>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</si>
  <si>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</si>
  <si>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</si>
  <si>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</si>
  <si>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</si>
  <si>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</si>
  <si>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</si>
  <si>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</si>
  <si>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</si>
  <si>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</si>
  <si>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</si>
  <si>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</si>
  <si>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</si>
  <si>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</si>
  <si>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</si>
  <si>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</si>
  <si>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</si>
  <si>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</si>
  <si>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</si>
  <si>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</si>
  <si>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</si>
  <si>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</si>
  <si>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</si>
  <si>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</si>
  <si>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</si>
  <si>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</si>
  <si>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</si>
  <si>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</si>
  <si>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</si>
  <si>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</si>
  <si>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</si>
  <si>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</si>
  <si>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</si>
  <si>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</si>
  <si>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</si>
  <si>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</si>
  <si>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</si>
  <si>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</si>
  <si>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</si>
  <si>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</si>
  <si>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</si>
  <si>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</si>
  <si>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</si>
  <si>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</si>
  <si>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</si>
  <si>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</si>
  <si>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</si>
  <si>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</si>
  <si>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</si>
  <si>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</si>
  <si>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</si>
  <si>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</si>
  <si>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</si>
  <si>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</si>
  <si>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</si>
  <si>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</si>
  <si>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математический класс </t>
    </r>
    <r>
      <rPr>
        <sz val="11"/>
        <color theme="1"/>
        <rFont val="Times New Roman"/>
        <family val="1"/>
        <charset val="204"/>
      </rPr>
      <t>(k = 1)</t>
    </r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</si>
  <si>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</si>
  <si>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</si>
  <si>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</si>
  <si>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</si>
  <si>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 образования</t>
    </r>
    <r>
      <rPr>
        <sz val="11"/>
        <color theme="1"/>
        <rFont val="Times New Roman"/>
        <family val="1"/>
        <charset val="204"/>
      </rPr>
      <t xml:space="preserve"> 802111О.99.0.БАЮ58001; 802111О.99.0.БА96АА00001; 802111О.99.0.БА96АЮ83001</t>
    </r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</si>
  <si>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</si>
  <si>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</si>
  <si>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</si>
  <si>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</si>
  <si>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</si>
  <si>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</si>
  <si>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</si>
  <si>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</si>
  <si>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</si>
  <si>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</si>
  <si>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</si>
  <si>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от 3 до 8 лет (b3) t8/псих.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</si>
  <si>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</si>
  <si>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</si>
  <si>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</si>
  <si>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</si>
  <si>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</si>
  <si>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</si>
  <si>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</si>
  <si>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</si>
  <si>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</si>
  <si>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</si>
  <si>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</si>
  <si>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</si>
  <si>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</si>
  <si>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r>
      <t xml:space="preserve">с 1 инвалидом и </t>
    </r>
    <r>
      <rPr>
        <sz val="11"/>
        <color theme="9" tint="-0.499984740745262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опека</t>
    </r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</si>
  <si>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</si>
  <si>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</si>
  <si>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</si>
  <si>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</si>
  <si>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</si>
  <si>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</si>
  <si>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</si>
  <si>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</si>
  <si>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</si>
  <si>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</si>
  <si>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</si>
  <si>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</si>
  <si>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</si>
  <si>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</si>
  <si>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</si>
  <si>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</si>
  <si>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</si>
  <si>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</si>
  <si>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</si>
  <si>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</si>
  <si>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</si>
  <si>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</si>
  <si>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</si>
  <si>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</si>
  <si>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</si>
  <si>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</si>
  <si>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</si>
  <si>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</si>
  <si>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</si>
  <si>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</si>
  <si>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</si>
  <si>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</si>
  <si>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</si>
  <si>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</si>
  <si>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</si>
  <si>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</si>
  <si>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</si>
  <si>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</si>
  <si>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</si>
  <si>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</si>
  <si>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</si>
  <si>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</si>
  <si>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</si>
  <si>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</si>
  <si>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</si>
  <si>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</si>
  <si>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</si>
  <si>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</si>
  <si>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t>804200О.99.0.ББ52АЕ04000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</si>
  <si>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</si>
  <si>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</si>
  <si>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r>
      <t xml:space="preserve">в т.ч. Краевой бюджет пед.персонал </t>
    </r>
    <r>
      <rPr>
        <sz val="11"/>
        <color rgb="FF0070C0"/>
        <rFont val="Times New Roman"/>
        <family val="1"/>
        <charset val="204"/>
      </rPr>
      <t>(краевой норматив на доп-е общераз-е программы)</t>
    </r>
  </si>
  <si>
    <r>
      <t>в т.ч. Краевой бюджет пед.персонал, руб.</t>
    </r>
    <r>
      <rPr>
        <sz val="11"/>
        <color rgb="FF0070C0"/>
        <rFont val="Times New Roman"/>
        <family val="1"/>
        <charset val="204"/>
      </rPr>
      <t xml:space="preserve"> (краевой бюджет на доп-е общераз-е программы)</t>
    </r>
  </si>
  <si>
    <t>дети инвалиды-1, по МЗ</t>
  </si>
  <si>
    <t>854100О.99.0.ББ52БЭ28000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</si>
  <si>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</si>
  <si>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</si>
  <si>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</si>
  <si>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</si>
  <si>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</si>
  <si>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</si>
  <si>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</si>
  <si>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</si>
  <si>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</si>
  <si>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</si>
  <si>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r>
      <t xml:space="preserve">итого по услуге </t>
    </r>
    <r>
      <rPr>
        <sz val="11"/>
        <color rgb="FF0070C0"/>
        <rFont val="Times New Roman"/>
        <family val="1"/>
        <charset val="204"/>
      </rPr>
      <t>(без детей из мед.учрежд-я)</t>
    </r>
    <r>
      <rPr>
        <b/>
        <sz val="11"/>
        <color rgb="FF000000"/>
        <rFont val="Times New Roman"/>
        <family val="1"/>
        <charset val="204"/>
      </rPr>
      <t>:</t>
    </r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</si>
  <si>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</si>
  <si>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</si>
  <si>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</si>
  <si>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</si>
  <si>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</si>
  <si>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</si>
  <si>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r>
      <t xml:space="preserve">Нормативные затраты на оказание муницп-й услуги, </t>
    </r>
    <r>
      <rPr>
        <b/>
        <sz val="8"/>
        <color rgb="FF0070C0"/>
        <rFont val="Times New Roman"/>
        <family val="1"/>
        <charset val="204"/>
      </rPr>
      <t>на 24.10.25г.</t>
    </r>
  </si>
  <si>
    <t>Базовый норматив затрат на единицу объема, на 09.09.26г.</t>
  </si>
  <si>
    <t>Базовый норматив затрат на единицу объема, на 09.09.27г.</t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</si>
  <si>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24.10.26г.</t>
    </r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</si>
  <si>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24.10.27г.</t>
    </r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</si>
  <si>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</si>
  <si>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</si>
  <si>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</si>
  <si>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</si>
  <si>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</si>
  <si>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</si>
  <si>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</si>
  <si>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</si>
  <si>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</si>
  <si>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</si>
  <si>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</si>
  <si>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</si>
  <si>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</si>
  <si>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</si>
  <si>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</si>
  <si>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</si>
  <si>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</si>
  <si>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</si>
  <si>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</si>
  <si>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</si>
  <si>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</si>
  <si>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</si>
  <si>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</si>
  <si>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</si>
  <si>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</si>
  <si>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</si>
  <si>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</si>
  <si>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</si>
  <si>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</si>
  <si>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</si>
  <si>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</si>
  <si>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</si>
  <si>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</si>
  <si>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</si>
  <si>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r>
      <t>с  1 инвалидом,</t>
    </r>
    <r>
      <rPr>
        <sz val="11"/>
        <color rgb="FFC00000"/>
        <rFont val="Times New Roman"/>
        <family val="1"/>
        <charset val="204"/>
      </rPr>
      <t xml:space="preserve"> 0 опека</t>
    </r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</si>
  <si>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</si>
  <si>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</si>
  <si>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</si>
  <si>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</si>
  <si>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</si>
  <si>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</si>
  <si>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</si>
  <si>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r>
      <t xml:space="preserve">дети из </t>
    </r>
    <r>
      <rPr>
        <b/>
        <sz val="10"/>
        <color rgb="FF0070C0"/>
        <rFont val="Times New Roman"/>
        <family val="1"/>
        <charset val="204"/>
      </rPr>
      <t>мед.учреждения</t>
    </r>
    <r>
      <rPr>
        <sz val="10"/>
        <color rgb="FF0070C0"/>
        <rFont val="Times New Roman"/>
        <family val="1"/>
        <charset val="204"/>
      </rPr>
      <t xml:space="preserve"> в общую численность НЕ ВХОДЯТ</t>
    </r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</si>
  <si>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</si>
  <si>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</si>
  <si>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</si>
  <si>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</si>
  <si>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</si>
  <si>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</si>
  <si>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</si>
  <si>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специализированный класс </t>
    </r>
    <r>
      <rPr>
        <sz val="11"/>
        <color theme="1"/>
        <rFont val="Times New Roman"/>
        <family val="1"/>
        <charset val="204"/>
      </rPr>
      <t>(k = 1)</t>
    </r>
  </si>
  <si>
    <t>1013620,33- на 1 класс+27940,38 на 1 человека</t>
  </si>
  <si>
    <r>
      <t xml:space="preserve">1013620,33- на 1 класс+ </t>
    </r>
    <r>
      <rPr>
        <sz val="11"/>
        <color rgb="FF0070C0"/>
        <rFont val="Times New Roman"/>
        <family val="1"/>
        <charset val="204"/>
      </rPr>
      <t>2198,86</t>
    </r>
    <r>
      <rPr>
        <sz val="11"/>
        <color indexed="8"/>
        <rFont val="Times New Roman"/>
        <family val="1"/>
        <charset val="204"/>
      </rPr>
      <t>- на 1 человека</t>
    </r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</si>
  <si>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</si>
  <si>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</si>
  <si>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</si>
  <si>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</si>
  <si>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</si>
  <si>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</si>
  <si>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</si>
  <si>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</si>
  <si>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</si>
  <si>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</si>
  <si>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</si>
  <si>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</si>
  <si>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</si>
  <si>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</si>
  <si>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</si>
  <si>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</si>
  <si>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</si>
  <si>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</si>
  <si>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</si>
  <si>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</si>
  <si>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</si>
  <si>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</si>
  <si>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</si>
  <si>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</si>
  <si>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</si>
  <si>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</si>
  <si>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</si>
  <si>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</si>
  <si>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r>
      <t>с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8</t>
    </r>
    <r>
      <rPr>
        <sz val="11"/>
        <rFont val="Times New Roman"/>
        <family val="1"/>
        <charset val="204"/>
      </rPr>
      <t xml:space="preserve"> инвалидами и</t>
    </r>
    <r>
      <rPr>
        <sz val="11"/>
        <color rgb="FF0070C0"/>
        <rFont val="Times New Roman"/>
        <family val="1"/>
        <charset val="204"/>
      </rPr>
      <t xml:space="preserve"> 3</t>
    </r>
    <r>
      <rPr>
        <sz val="11"/>
        <rFont val="Times New Roman"/>
        <family val="1"/>
        <charset val="204"/>
      </rPr>
      <t xml:space="preserve"> сирот (по МЗ на 26-28гг)</t>
    </r>
  </si>
  <si>
    <t>от 3 до 8 лет (b8) t11/аутиз.</t>
  </si>
  <si>
    <t>с  2 инвалидами</t>
  </si>
  <si>
    <t>с 1 инвалидом и 0 сирота (по МЗ на 26-28гг)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</si>
  <si>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</si>
  <si>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</si>
  <si>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</si>
  <si>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</si>
  <si>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r>
      <rPr>
        <b/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 xml:space="preserve"> на 1 человека</t>
    </r>
  </si>
  <si>
    <r>
      <rPr>
        <b/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</si>
  <si>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r>
      <t xml:space="preserve">2026 год </t>
    </r>
    <r>
      <rPr>
        <sz val="11"/>
        <color rgb="FF0070C0"/>
        <rFont val="Times New Roman"/>
        <family val="1"/>
        <charset val="204"/>
      </rPr>
      <t xml:space="preserve">числен-ть по стат.отч. №85-К </t>
    </r>
  </si>
  <si>
    <t>к Приказу от 23.03.2026г. № 61</t>
  </si>
  <si>
    <t>от 23.03.2026г  № 61</t>
  </si>
  <si>
    <t>от   23.03.2026г  № 61</t>
  </si>
  <si>
    <t>к Приказу от 23.03.2026 г. № 61</t>
  </si>
  <si>
    <t xml:space="preserve">Приложение № 4 к приказу от 23.03.2026г   № 61 </t>
  </si>
  <si>
    <t>к Приказу от  23.03.2026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</si>
</sst>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b/>
      <sz val="8"/>
      <color theme="7" tint="-0.249977111117893"/>
      <name val="Calibri"/>
      <family val="2"/>
      <charset val="204"/>
      <scheme val="minor"/>
    </font>
    <font>
      <b/>
      <sz val="8"/>
      <color theme="9" tint="-0.499984740745262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sz val="9"/>
      <color theme="7" tint="-0.249977111117893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8"/>
      <color theme="7" tint="-0.249977111117893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7" tint="-0.249977111117893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i/>
      <sz val="6"/>
      <color rgb="FF0070C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8"/>
      <color theme="7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9" tint="-0.499984740745262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9"/>
      <color theme="9" tint="-0.49998474074526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25" fillId="0" borderId="0"/>
    <xf numFmtId="0" fontId="65" fillId="23" borderId="0" applyNumberFormat="0" applyBorder="0" applyAlignment="0" applyProtection="0"/>
  </cellStyleXfs>
  <cellXfs count="949">
    <xf numFmtId="0" fontId="0" fillId="0" borderId="0" xfId="0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readingOrder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4" fontId="2" fillId="0" borderId="0" xfId="0" applyNumberFormat="1" applyFont="1" applyFill="1" applyBorder="1"/>
    <xf numFmtId="4" fontId="7" fillId="3" borderId="2" xfId="0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/>
    <xf numFmtId="165" fontId="2" fillId="0" borderId="0" xfId="0" applyNumberFormat="1" applyFont="1" applyFill="1" applyBorder="1"/>
    <xf numFmtId="0" fontId="2" fillId="0" borderId="6" xfId="0" applyFont="1" applyFill="1" applyBorder="1"/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4" fontId="2" fillId="0" borderId="7" xfId="0" applyNumberFormat="1" applyFont="1" applyFill="1" applyBorder="1"/>
    <xf numFmtId="3" fontId="12" fillId="0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Fill="1" applyBorder="1"/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0" fontId="9" fillId="0" borderId="0" xfId="0" applyFont="1"/>
    <xf numFmtId="0" fontId="2" fillId="0" borderId="0" xfId="0" applyFont="1"/>
    <xf numFmtId="4" fontId="2" fillId="0" borderId="0" xfId="0" applyNumberFormat="1" applyFont="1"/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17" fillId="0" borderId="5" xfId="2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4" fontId="7" fillId="3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13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/>
    <xf numFmtId="0" fontId="5" fillId="3" borderId="2" xfId="0" applyFont="1" applyFill="1" applyBorder="1" applyAlignment="1">
      <alignment horizontal="left" vertical="center" wrapText="1" readingOrder="1"/>
    </xf>
    <xf numFmtId="0" fontId="22" fillId="0" borderId="0" xfId="0" applyFont="1"/>
    <xf numFmtId="4" fontId="2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/>
    <xf numFmtId="4" fontId="23" fillId="0" borderId="0" xfId="0" applyNumberFormat="1" applyFont="1" applyFill="1" applyBorder="1"/>
    <xf numFmtId="0" fontId="24" fillId="0" borderId="0" xfId="0" applyFont="1"/>
    <xf numFmtId="0" fontId="2" fillId="0" borderId="0" xfId="3" applyFont="1" applyFill="1"/>
    <xf numFmtId="0" fontId="2" fillId="3" borderId="0" xfId="3" applyFont="1" applyFill="1"/>
    <xf numFmtId="0" fontId="2" fillId="0" borderId="0" xfId="3" applyFont="1" applyFill="1" applyBorder="1" applyAlignment="1">
      <alignment vertical="top"/>
    </xf>
    <xf numFmtId="0" fontId="26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27" fillId="3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3" fontId="19" fillId="3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4" fontId="28" fillId="0" borderId="2" xfId="3" applyNumberFormat="1" applyFont="1" applyFill="1" applyBorder="1" applyAlignment="1">
      <alignment horizontal="center" vertical="center"/>
    </xf>
    <xf numFmtId="4" fontId="28" fillId="3" borderId="2" xfId="3" applyNumberFormat="1" applyFont="1" applyFill="1" applyBorder="1" applyAlignment="1">
      <alignment horizontal="center" vertical="center"/>
    </xf>
    <xf numFmtId="4" fontId="29" fillId="0" borderId="2" xfId="3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0" fontId="2" fillId="6" borderId="0" xfId="3" applyFont="1" applyFill="1"/>
    <xf numFmtId="0" fontId="3" fillId="3" borderId="2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/>
    </xf>
    <xf numFmtId="4" fontId="2" fillId="7" borderId="0" xfId="3" applyNumberFormat="1" applyFont="1" applyFill="1"/>
    <xf numFmtId="3" fontId="30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0" fontId="2" fillId="3" borderId="0" xfId="3" applyFont="1" applyFill="1" applyBorder="1"/>
    <xf numFmtId="4" fontId="2" fillId="3" borderId="0" xfId="3" applyNumberFormat="1" applyFont="1" applyFill="1" applyBorder="1"/>
    <xf numFmtId="4" fontId="31" fillId="0" borderId="0" xfId="3" applyNumberFormat="1" applyFont="1" applyFill="1" applyBorder="1"/>
    <xf numFmtId="4" fontId="2" fillId="0" borderId="0" xfId="3" applyNumberFormat="1" applyFont="1" applyFill="1" applyBorder="1"/>
    <xf numFmtId="4" fontId="31" fillId="3" borderId="0" xfId="3" applyNumberFormat="1" applyFont="1" applyFill="1" applyBorder="1"/>
    <xf numFmtId="3" fontId="18" fillId="3" borderId="0" xfId="3" applyNumberFormat="1" applyFont="1" applyFill="1" applyBorder="1" applyAlignment="1">
      <alignment horizontal="right"/>
    </xf>
    <xf numFmtId="4" fontId="2" fillId="3" borderId="0" xfId="3" applyNumberFormat="1" applyFont="1" applyFill="1"/>
    <xf numFmtId="0" fontId="7" fillId="3" borderId="0" xfId="0" applyFont="1" applyFill="1"/>
    <xf numFmtId="0" fontId="7" fillId="0" borderId="0" xfId="0" applyFont="1" applyBorder="1"/>
    <xf numFmtId="0" fontId="7" fillId="3" borderId="0" xfId="0" applyFont="1" applyFill="1" applyBorder="1"/>
    <xf numFmtId="0" fontId="7" fillId="0" borderId="0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2" fillId="0" borderId="9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/>
    <xf numFmtId="0" fontId="7" fillId="0" borderId="0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5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7" fillId="3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/>
    <xf numFmtId="4" fontId="41" fillId="0" borderId="0" xfId="0" applyNumberFormat="1" applyFont="1" applyFill="1" applyBorder="1"/>
    <xf numFmtId="4" fontId="41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7" fontId="41" fillId="0" borderId="0" xfId="0" applyNumberFormat="1" applyFont="1" applyFill="1" applyBorder="1" applyAlignment="1">
      <alignment horizontal="center" wrapText="1"/>
    </xf>
    <xf numFmtId="0" fontId="11" fillId="11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4" fontId="42" fillId="0" borderId="0" xfId="0" applyNumberFormat="1" applyFont="1" applyFill="1" applyBorder="1"/>
    <xf numFmtId="168" fontId="42" fillId="0" borderId="0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3" fontId="11" fillId="11" borderId="2" xfId="0" applyNumberFormat="1" applyFont="1" applyFill="1" applyBorder="1" applyAlignment="1">
      <alignment horizontal="center" vertical="center" wrapText="1"/>
    </xf>
    <xf numFmtId="4" fontId="37" fillId="12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horizontal="center" vertical="center"/>
    </xf>
    <xf numFmtId="4" fontId="37" fillId="9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37" fillId="5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3" fontId="11" fillId="11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39" fillId="9" borderId="0" xfId="0" applyNumberFormat="1" applyFont="1" applyFill="1" applyBorder="1" applyAlignment="1">
      <alignment horizontal="center" vertical="center" wrapText="1"/>
    </xf>
    <xf numFmtId="167" fontId="39" fillId="5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171" fontId="44" fillId="0" borderId="2" xfId="0" applyNumberFormat="1" applyFont="1" applyFill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172" fontId="45" fillId="0" borderId="2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3" fontId="37" fillId="0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39" fillId="7" borderId="2" xfId="0" applyNumberFormat="1" applyFont="1" applyFill="1" applyBorder="1" applyAlignment="1">
      <alignment horizontal="center" vertical="center" wrapText="1"/>
    </xf>
    <xf numFmtId="4" fontId="39" fillId="4" borderId="2" xfId="0" applyNumberFormat="1" applyFont="1" applyFill="1" applyBorder="1" applyAlignment="1">
      <alignment horizontal="center" vertical="center" wrapText="1"/>
    </xf>
    <xf numFmtId="4" fontId="34" fillId="4" borderId="7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4" fontId="39" fillId="7" borderId="0" xfId="0" applyNumberFormat="1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3" fontId="39" fillId="11" borderId="0" xfId="0" applyNumberFormat="1" applyFont="1" applyFill="1" applyBorder="1" applyAlignment="1">
      <alignment horizontal="center" vertical="center"/>
    </xf>
    <xf numFmtId="4" fontId="39" fillId="7" borderId="0" xfId="0" applyNumberFormat="1" applyFont="1" applyFill="1" applyBorder="1" applyAlignment="1">
      <alignment vertical="center"/>
    </xf>
    <xf numFmtId="4" fontId="39" fillId="7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169" fontId="39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4" fontId="48" fillId="0" borderId="3" xfId="0" applyNumberFormat="1" applyFont="1" applyFill="1" applyBorder="1" applyAlignment="1">
      <alignment vertical="center"/>
    </xf>
    <xf numFmtId="4" fontId="49" fillId="0" borderId="3" xfId="0" applyNumberFormat="1" applyFont="1" applyFill="1" applyBorder="1" applyAlignment="1">
      <alignment horizontal="center" vertical="center"/>
    </xf>
    <xf numFmtId="173" fontId="49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173" fontId="50" fillId="0" borderId="3" xfId="0" applyNumberFormat="1" applyFont="1" applyFill="1" applyBorder="1" applyAlignment="1">
      <alignment horizontal="center" vertical="center"/>
    </xf>
    <xf numFmtId="4" fontId="5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4" fontId="39" fillId="10" borderId="0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vertical="center" wrapText="1"/>
    </xf>
    <xf numFmtId="4" fontId="39" fillId="7" borderId="2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7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vertical="center" wrapText="1"/>
    </xf>
    <xf numFmtId="4" fontId="39" fillId="16" borderId="2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/>
    </xf>
    <xf numFmtId="0" fontId="54" fillId="0" borderId="2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4" fontId="54" fillId="0" borderId="5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left" vertical="center" wrapText="1"/>
    </xf>
    <xf numFmtId="4" fontId="54" fillId="0" borderId="0" xfId="0" applyNumberFormat="1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vertical="center" wrapText="1"/>
    </xf>
    <xf numFmtId="4" fontId="39" fillId="15" borderId="0" xfId="0" applyNumberFormat="1" applyFont="1" applyFill="1" applyBorder="1" applyAlignment="1">
      <alignment horizontal="center"/>
    </xf>
    <xf numFmtId="4" fontId="11" fillId="7" borderId="0" xfId="0" applyNumberFormat="1" applyFont="1" applyFill="1" applyBorder="1" applyAlignment="1">
      <alignment horizontal="center" vertical="center"/>
    </xf>
    <xf numFmtId="4" fontId="40" fillId="10" borderId="0" xfId="0" applyNumberFormat="1" applyFont="1" applyFill="1" applyBorder="1" applyAlignment="1">
      <alignment horizontal="center" vertical="center"/>
    </xf>
    <xf numFmtId="167" fontId="11" fillId="17" borderId="0" xfId="0" applyNumberFormat="1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center" wrapText="1"/>
    </xf>
    <xf numFmtId="4" fontId="40" fillId="1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vertical="center"/>
    </xf>
    <xf numFmtId="167" fontId="11" fillId="17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39" fillId="0" borderId="3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4" fontId="39" fillId="7" borderId="0" xfId="0" applyNumberFormat="1" applyFont="1" applyFill="1" applyBorder="1" applyAlignment="1">
      <alignment horizontal="center"/>
    </xf>
    <xf numFmtId="167" fontId="39" fillId="0" borderId="2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center"/>
    </xf>
    <xf numFmtId="4" fontId="39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4" fontId="39" fillId="5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4" fontId="39" fillId="0" borderId="2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2" fillId="9" borderId="0" xfId="0" applyNumberFormat="1" applyFont="1" applyFill="1" applyBorder="1"/>
    <xf numFmtId="0" fontId="13" fillId="0" borderId="0" xfId="0" applyFont="1" applyAlignment="1">
      <alignment wrapText="1"/>
    </xf>
    <xf numFmtId="2" fontId="14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0" fillId="3" borderId="0" xfId="0" applyFont="1" applyFill="1" applyBorder="1" applyAlignment="1">
      <alignment vertical="top"/>
    </xf>
    <xf numFmtId="0" fontId="20" fillId="0" borderId="2" xfId="0" applyFont="1" applyFill="1" applyBorder="1" applyAlignment="1">
      <alignment horizontal="left" vertical="center" wrapText="1"/>
    </xf>
    <xf numFmtId="0" fontId="22" fillId="0" borderId="0" xfId="0" applyFont="1" applyFill="1"/>
    <xf numFmtId="4" fontId="22" fillId="0" borderId="0" xfId="0" applyNumberFormat="1" applyFont="1" applyFill="1"/>
    <xf numFmtId="4" fontId="22" fillId="0" borderId="0" xfId="0" applyNumberFormat="1" applyFont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" fontId="4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4" fontId="55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vertical="center" wrapText="1"/>
    </xf>
    <xf numFmtId="4" fontId="37" fillId="9" borderId="2" xfId="0" applyNumberFormat="1" applyFont="1" applyFill="1" applyBorder="1" applyAlignment="1">
      <alignment horizontal="center" vertical="center"/>
    </xf>
    <xf numFmtId="4" fontId="37" fillId="9" borderId="2" xfId="0" applyNumberFormat="1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vertical="center" wrapText="1"/>
    </xf>
    <xf numFmtId="4" fontId="37" fillId="4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170" fontId="39" fillId="9" borderId="2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/>
    </xf>
    <xf numFmtId="3" fontId="28" fillId="3" borderId="2" xfId="3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2" fontId="13" fillId="0" borderId="0" xfId="0" applyNumberFormat="1" applyFont="1" applyAlignment="1">
      <alignment wrapText="1"/>
    </xf>
    <xf numFmtId="0" fontId="13" fillId="0" borderId="0" xfId="0" applyFont="1" applyAlignment="1">
      <alignment vertical="top"/>
    </xf>
    <xf numFmtId="0" fontId="4" fillId="0" borderId="2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7" fillId="0" borderId="6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 readingOrder="1"/>
    </xf>
    <xf numFmtId="4" fontId="2" fillId="11" borderId="2" xfId="0" applyNumberFormat="1" applyFont="1" applyFill="1" applyBorder="1" applyAlignment="1">
      <alignment horizontal="center" vertical="center" wrapText="1" readingOrder="1"/>
    </xf>
    <xf numFmtId="4" fontId="3" fillId="11" borderId="2" xfId="0" applyNumberFormat="1" applyFont="1" applyFill="1" applyBorder="1" applyAlignment="1">
      <alignment horizontal="center" vertical="center" wrapText="1" readingOrder="1"/>
    </xf>
    <xf numFmtId="0" fontId="20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20" fillId="3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4" fontId="29" fillId="3" borderId="2" xfId="3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4" fontId="2" fillId="4" borderId="2" xfId="3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2" xfId="3" applyFont="1" applyFill="1" applyBorder="1" applyAlignment="1">
      <alignment horizontal="center" vertical="center" wrapText="1"/>
    </xf>
    <xf numFmtId="169" fontId="39" fillId="10" borderId="2" xfId="0" applyNumberFormat="1" applyFont="1" applyFill="1" applyBorder="1" applyAlignment="1">
      <alignment horizontal="center" vertical="center" wrapText="1"/>
    </xf>
    <xf numFmtId="4" fontId="42" fillId="10" borderId="2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vertical="center"/>
    </xf>
    <xf numFmtId="4" fontId="7" fillId="19" borderId="2" xfId="0" applyNumberFormat="1" applyFont="1" applyFill="1" applyBorder="1" applyAlignment="1">
      <alignment horizontal="center" vertical="center"/>
    </xf>
    <xf numFmtId="4" fontId="2" fillId="19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2" fillId="18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wrapText="1"/>
    </xf>
    <xf numFmtId="167" fontId="39" fillId="3" borderId="0" xfId="0" applyNumberFormat="1" applyFont="1" applyFill="1" applyBorder="1" applyAlignment="1">
      <alignment vertical="center" wrapText="1"/>
    </xf>
    <xf numFmtId="168" fontId="39" fillId="0" borderId="0" xfId="0" applyNumberFormat="1" applyFont="1" applyFill="1" applyBorder="1" applyAlignment="1">
      <alignment horizontal="center"/>
    </xf>
    <xf numFmtId="4" fontId="39" fillId="19" borderId="0" xfId="0" applyNumberFormat="1" applyFont="1" applyFill="1" applyBorder="1" applyAlignment="1">
      <alignment vertical="center" wrapText="1"/>
    </xf>
    <xf numFmtId="0" fontId="11" fillId="19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39" fillId="20" borderId="0" xfId="0" applyNumberFormat="1" applyFont="1" applyFill="1" applyBorder="1" applyAlignment="1">
      <alignment vertical="center" wrapText="1"/>
    </xf>
    <xf numFmtId="3" fontId="39" fillId="20" borderId="0" xfId="0" applyNumberFormat="1" applyFont="1" applyFill="1" applyBorder="1" applyAlignment="1">
      <alignment horizontal="center" vertical="center" wrapText="1"/>
    </xf>
    <xf numFmtId="0" fontId="39" fillId="19" borderId="0" xfId="0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vertical="center" wrapText="1"/>
    </xf>
    <xf numFmtId="3" fontId="39" fillId="16" borderId="2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horizontal="center" vertical="center"/>
    </xf>
    <xf numFmtId="3" fontId="39" fillId="16" borderId="2" xfId="0" applyNumberFormat="1" applyFont="1" applyFill="1" applyBorder="1" applyAlignment="1">
      <alignment horizontal="center" vertical="center"/>
    </xf>
    <xf numFmtId="0" fontId="39" fillId="16" borderId="2" xfId="0" applyFont="1" applyFill="1" applyBorder="1" applyAlignment="1">
      <alignment vertical="center" wrapText="1"/>
    </xf>
    <xf numFmtId="3" fontId="54" fillId="16" borderId="2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center" vertical="center" wrapText="1"/>
    </xf>
    <xf numFmtId="170" fontId="46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4" fontId="28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/>
    </xf>
    <xf numFmtId="0" fontId="2" fillId="16" borderId="2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wrapText="1"/>
    </xf>
    <xf numFmtId="4" fontId="39" fillId="0" borderId="0" xfId="0" applyNumberFormat="1" applyFont="1" applyFill="1" applyBorder="1" applyAlignment="1">
      <alignment horizontal="center" wrapText="1"/>
    </xf>
    <xf numFmtId="169" fontId="39" fillId="0" borderId="0" xfId="0" applyNumberFormat="1" applyFont="1" applyFill="1" applyBorder="1"/>
    <xf numFmtId="0" fontId="39" fillId="0" borderId="0" xfId="0" applyFont="1" applyFill="1" applyBorder="1" applyAlignment="1">
      <alignment horizontal="center" wrapText="1"/>
    </xf>
    <xf numFmtId="4" fontId="39" fillId="0" borderId="0" xfId="0" applyNumberFormat="1" applyFont="1" applyFill="1" applyBorder="1"/>
    <xf numFmtId="174" fontId="11" fillId="0" borderId="0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3" fontId="39" fillId="4" borderId="2" xfId="0" applyNumberFormat="1" applyFont="1" applyFill="1" applyBorder="1" applyAlignment="1">
      <alignment horizontal="center" vertical="center" wrapText="1"/>
    </xf>
    <xf numFmtId="4" fontId="11" fillId="12" borderId="2" xfId="0" applyNumberFormat="1" applyFont="1" applyFill="1" applyBorder="1" applyAlignment="1">
      <alignment horizontal="center" vertical="center" wrapText="1"/>
    </xf>
    <xf numFmtId="4" fontId="11" fillId="9" borderId="2" xfId="0" applyNumberFormat="1" applyFont="1" applyFill="1" applyBorder="1" applyAlignment="1">
      <alignment horizontal="center" vertical="center" wrapText="1"/>
    </xf>
    <xf numFmtId="4" fontId="11" fillId="11" borderId="2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2" fillId="0" borderId="0" xfId="0" applyFont="1" applyFill="1"/>
    <xf numFmtId="4" fontId="4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left" vertical="center" wrapText="1"/>
    </xf>
    <xf numFmtId="4" fontId="53" fillId="0" borderId="2" xfId="0" applyNumberFormat="1" applyFont="1" applyFill="1" applyBorder="1" applyAlignment="1">
      <alignment horizontal="left" vertical="center" wrapText="1"/>
    </xf>
    <xf numFmtId="4" fontId="60" fillId="0" borderId="2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39" fillId="17" borderId="0" xfId="0" applyNumberFormat="1" applyFont="1" applyFill="1" applyBorder="1" applyAlignment="1">
      <alignment horizontal="center" vertical="center" wrapText="1"/>
    </xf>
    <xf numFmtId="170" fontId="39" fillId="0" borderId="2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168" fontId="41" fillId="10" borderId="2" xfId="0" applyNumberFormat="1" applyFont="1" applyFill="1" applyBorder="1" applyAlignment="1">
      <alignment horizontal="center" vertical="center" wrapText="1"/>
    </xf>
    <xf numFmtId="4" fontId="39" fillId="10" borderId="2" xfId="0" applyNumberFormat="1" applyFont="1" applyFill="1" applyBorder="1" applyAlignment="1">
      <alignment horizontal="center" vertical="center" wrapText="1"/>
    </xf>
    <xf numFmtId="174" fontId="42" fillId="0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 applyAlignment="1">
      <alignment horizontal="left" vertical="center" wrapText="1"/>
    </xf>
    <xf numFmtId="4" fontId="11" fillId="22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left" vertical="center" wrapText="1"/>
    </xf>
    <xf numFmtId="4" fontId="62" fillId="4" borderId="0" xfId="0" applyNumberFormat="1" applyFont="1" applyFill="1" applyBorder="1" applyAlignment="1">
      <alignment horizontal="center" vertical="center" wrapText="1"/>
    </xf>
    <xf numFmtId="168" fontId="47" fillId="4" borderId="0" xfId="0" applyNumberFormat="1" applyFont="1" applyFill="1" applyBorder="1" applyAlignment="1">
      <alignment horizontal="center" vertical="center" wrapText="1"/>
    </xf>
    <xf numFmtId="174" fontId="41" fillId="1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8" fontId="47" fillId="0" borderId="0" xfId="0" applyNumberFormat="1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righ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right" vertical="center" wrapText="1"/>
    </xf>
    <xf numFmtId="4" fontId="39" fillId="22" borderId="0" xfId="0" applyNumberFormat="1" applyFont="1" applyFill="1" applyBorder="1" applyAlignment="1">
      <alignment horizontal="left" vertical="center" wrapText="1"/>
    </xf>
    <xf numFmtId="4" fontId="39" fillId="22" borderId="2" xfId="0" applyNumberFormat="1" applyFont="1" applyFill="1" applyBorder="1" applyAlignment="1">
      <alignment horizontal="center" vertical="center" wrapText="1"/>
    </xf>
    <xf numFmtId="170" fontId="62" fillId="0" borderId="0" xfId="0" applyNumberFormat="1" applyFont="1" applyFill="1" applyBorder="1" applyAlignment="1">
      <alignment horizontal="left" vertical="center" wrapText="1"/>
    </xf>
    <xf numFmtId="4" fontId="39" fillId="4" borderId="0" xfId="0" applyNumberFormat="1" applyFont="1" applyFill="1" applyBorder="1" applyAlignment="1">
      <alignment horizontal="right" vertical="center" wrapText="1"/>
    </xf>
    <xf numFmtId="4" fontId="39" fillId="4" borderId="0" xfId="0" applyNumberFormat="1" applyFont="1" applyFill="1" applyBorder="1" applyAlignment="1">
      <alignment horizontal="left" vertical="center" wrapText="1"/>
    </xf>
    <xf numFmtId="4" fontId="39" fillId="14" borderId="0" xfId="0" applyNumberFormat="1" applyFont="1" applyFill="1" applyBorder="1" applyAlignment="1">
      <alignment horizontal="right" vertical="center" wrapText="1"/>
    </xf>
    <xf numFmtId="4" fontId="39" fillId="14" borderId="0" xfId="0" applyNumberFormat="1" applyFont="1" applyFill="1" applyBorder="1" applyAlignment="1">
      <alignment horizontal="left" vertical="center" wrapText="1"/>
    </xf>
    <xf numFmtId="4" fontId="39" fillId="20" borderId="0" xfId="0" applyNumberFormat="1" applyFont="1" applyFill="1" applyBorder="1" applyAlignment="1">
      <alignment horizontal="right" vertical="center" wrapText="1"/>
    </xf>
    <xf numFmtId="4" fontId="39" fillId="20" borderId="0" xfId="0" applyNumberFormat="1" applyFont="1" applyFill="1" applyBorder="1" applyAlignment="1">
      <alignment horizontal="left" vertical="center" wrapText="1"/>
    </xf>
    <xf numFmtId="168" fontId="62" fillId="0" borderId="0" xfId="0" applyNumberFormat="1" applyFont="1" applyFill="1" applyBorder="1" applyAlignment="1">
      <alignment horizontal="left" vertical="center" wrapText="1"/>
    </xf>
    <xf numFmtId="168" fontId="5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 vertical="center" wrapText="1"/>
    </xf>
    <xf numFmtId="4" fontId="39" fillId="14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 vertical="center" wrapText="1"/>
    </xf>
    <xf numFmtId="4" fontId="39" fillId="4" borderId="0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left" wrapText="1"/>
    </xf>
    <xf numFmtId="168" fontId="2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/>
    </xf>
    <xf numFmtId="4" fontId="11" fillId="7" borderId="2" xfId="0" applyNumberFormat="1" applyFont="1" applyFill="1" applyBorder="1" applyAlignment="1">
      <alignment horizontal="right" vertical="center" wrapText="1"/>
    </xf>
    <xf numFmtId="170" fontId="11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9" fillId="18" borderId="2" xfId="0" applyFont="1" applyFill="1" applyBorder="1" applyAlignment="1">
      <alignment vertical="center" wrapText="1"/>
    </xf>
    <xf numFmtId="4" fontId="37" fillId="18" borderId="2" xfId="0" applyNumberFormat="1" applyFont="1" applyFill="1" applyBorder="1" applyAlignment="1">
      <alignment horizontal="center" vertical="center"/>
    </xf>
    <xf numFmtId="4" fontId="11" fillId="18" borderId="2" xfId="0" applyNumberFormat="1" applyFont="1" applyFill="1" applyBorder="1" applyAlignment="1">
      <alignment horizontal="center" vertical="center" wrapText="1"/>
    </xf>
    <xf numFmtId="4" fontId="11" fillId="18" borderId="2" xfId="0" applyNumberFormat="1" applyFont="1" applyFill="1" applyBorder="1" applyAlignment="1">
      <alignment horizontal="left" vertical="center" wrapText="1"/>
    </xf>
    <xf numFmtId="4" fontId="11" fillId="9" borderId="2" xfId="0" applyNumberFormat="1" applyFont="1" applyFill="1" applyBorder="1" applyAlignment="1">
      <alignment horizontal="left" vertical="center" wrapText="1"/>
    </xf>
    <xf numFmtId="4" fontId="63" fillId="9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vertical="center" wrapText="1"/>
    </xf>
    <xf numFmtId="4" fontId="21" fillId="12" borderId="2" xfId="0" applyNumberFormat="1" applyFont="1" applyFill="1" applyBorder="1" applyAlignment="1">
      <alignment horizontal="center" vertical="center"/>
    </xf>
    <xf numFmtId="4" fontId="39" fillId="18" borderId="0" xfId="0" applyNumberFormat="1" applyFont="1" applyFill="1" applyBorder="1" applyAlignment="1">
      <alignment horizontal="right" vertical="center" wrapText="1"/>
    </xf>
    <xf numFmtId="4" fontId="39" fillId="18" borderId="0" xfId="0" applyNumberFormat="1" applyFont="1" applyFill="1" applyBorder="1" applyAlignment="1">
      <alignment horizontal="center" vertical="center" wrapText="1"/>
    </xf>
    <xf numFmtId="4" fontId="39" fillId="12" borderId="0" xfId="0" applyNumberFormat="1" applyFont="1" applyFill="1" applyBorder="1" applyAlignment="1">
      <alignment horizontal="right" vertical="center" wrapText="1"/>
    </xf>
    <xf numFmtId="4" fontId="37" fillId="12" borderId="0" xfId="0" applyNumberFormat="1" applyFont="1" applyFill="1" applyBorder="1" applyAlignment="1">
      <alignment horizontal="center" vertical="center" wrapText="1"/>
    </xf>
    <xf numFmtId="170" fontId="11" fillId="18" borderId="2" xfId="0" applyNumberFormat="1" applyFont="1" applyFill="1" applyBorder="1" applyAlignment="1">
      <alignment horizontal="right" vertical="center" wrapText="1"/>
    </xf>
    <xf numFmtId="170" fontId="41" fillId="10" borderId="2" xfId="0" applyNumberFormat="1" applyFont="1" applyFill="1" applyBorder="1" applyAlignment="1">
      <alignment horizontal="center" vertical="center" wrapText="1"/>
    </xf>
    <xf numFmtId="4" fontId="11" fillId="18" borderId="5" xfId="0" applyNumberFormat="1" applyFont="1" applyFill="1" applyBorder="1" applyAlignment="1">
      <alignment horizontal="left" vertical="center" wrapText="1"/>
    </xf>
    <xf numFmtId="174" fontId="11" fillId="9" borderId="2" xfId="0" applyNumberFormat="1" applyFont="1" applyFill="1" applyBorder="1" applyAlignment="1">
      <alignment horizontal="left" vertical="center" wrapText="1"/>
    </xf>
    <xf numFmtId="3" fontId="58" fillId="0" borderId="2" xfId="3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left" vertical="center" wrapText="1"/>
    </xf>
    <xf numFmtId="174" fontId="11" fillId="12" borderId="2" xfId="0" applyNumberFormat="1" applyFont="1" applyFill="1" applyBorder="1" applyAlignment="1">
      <alignment horizontal="center" vertical="center" wrapText="1"/>
    </xf>
    <xf numFmtId="174" fontId="42" fillId="12" borderId="2" xfId="0" applyNumberFormat="1" applyFont="1" applyFill="1" applyBorder="1" applyAlignment="1">
      <alignment horizontal="center" vertical="center" wrapText="1"/>
    </xf>
    <xf numFmtId="4" fontId="12" fillId="12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" fontId="39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0" fontId="2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4" fontId="39" fillId="1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 wrapText="1"/>
    </xf>
    <xf numFmtId="174" fontId="61" fillId="4" borderId="2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vertical="center" wrapText="1"/>
    </xf>
    <xf numFmtId="3" fontId="37" fillId="1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20" fillId="3" borderId="2" xfId="3" applyFont="1" applyFill="1" applyBorder="1" applyAlignment="1">
      <alignment horizontal="center" wrapText="1"/>
    </xf>
    <xf numFmtId="0" fontId="21" fillId="3" borderId="2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wrapText="1"/>
    </xf>
    <xf numFmtId="3" fontId="3" fillId="10" borderId="2" xfId="0" applyNumberFormat="1" applyFont="1" applyFill="1" applyBorder="1" applyAlignment="1">
      <alignment horizontal="center" vertical="center"/>
    </xf>
    <xf numFmtId="164" fontId="3" fillId="19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2" fillId="18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0" xfId="3" applyNumberFormat="1" applyFont="1" applyFill="1"/>
    <xf numFmtId="4" fontId="29" fillId="18" borderId="2" xfId="0" applyNumberFormat="1" applyFont="1" applyFill="1" applyBorder="1" applyAlignment="1">
      <alignment horizontal="center" vertical="center"/>
    </xf>
    <xf numFmtId="4" fontId="29" fillId="21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23" borderId="2" xfId="4" applyNumberFormat="1" applyFont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4" fontId="3" fillId="23" borderId="2" xfId="4" applyNumberFormat="1" applyFont="1" applyBorder="1" applyAlignment="1">
      <alignment horizontal="center" vertical="center"/>
    </xf>
    <xf numFmtId="3" fontId="2" fillId="19" borderId="2" xfId="3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7" fontId="39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4" fontId="2" fillId="21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4" fontId="58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68" fontId="12" fillId="12" borderId="2" xfId="0" applyNumberFormat="1" applyFont="1" applyFill="1" applyBorder="1" applyAlignment="1">
      <alignment horizontal="center" vertical="center" wrapText="1"/>
    </xf>
    <xf numFmtId="3" fontId="39" fillId="12" borderId="2" xfId="0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168" fontId="12" fillId="9" borderId="2" xfId="0" applyNumberFormat="1" applyFont="1" applyFill="1" applyBorder="1" applyAlignment="1">
      <alignment horizontal="center" vertical="center" wrapText="1"/>
    </xf>
    <xf numFmtId="3" fontId="39" fillId="9" borderId="2" xfId="0" applyNumberFormat="1" applyFont="1" applyFill="1" applyBorder="1" applyAlignment="1">
      <alignment horizontal="center" vertical="center" wrapText="1"/>
    </xf>
    <xf numFmtId="3" fontId="11" fillId="11" borderId="3" xfId="0" applyNumberFormat="1" applyFont="1" applyFill="1" applyBorder="1" applyAlignment="1">
      <alignment horizontal="center" vertical="center" wrapText="1"/>
    </xf>
    <xf numFmtId="4" fontId="12" fillId="12" borderId="3" xfId="0" applyNumberFormat="1" applyFont="1" applyFill="1" applyBorder="1" applyAlignment="1">
      <alignment horizontal="center" vertical="center" wrapText="1"/>
    </xf>
    <xf numFmtId="169" fontId="37" fillId="0" borderId="2" xfId="0" applyNumberFormat="1" applyFont="1" applyFill="1" applyBorder="1" applyAlignment="1">
      <alignment horizontal="center" vertical="center" wrapText="1"/>
    </xf>
    <xf numFmtId="0" fontId="2" fillId="10" borderId="2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 wrapText="1"/>
    </xf>
    <xf numFmtId="4" fontId="11" fillId="23" borderId="2" xfId="4" applyNumberFormat="1" applyFont="1" applyBorder="1" applyAlignment="1">
      <alignment horizontal="center" vertical="center"/>
    </xf>
    <xf numFmtId="4" fontId="39" fillId="23" borderId="2" xfId="4" applyNumberFormat="1" applyFont="1" applyBorder="1" applyAlignment="1">
      <alignment horizontal="center" vertical="center"/>
    </xf>
    <xf numFmtId="4" fontId="39" fillId="12" borderId="0" xfId="0" applyNumberFormat="1" applyFont="1" applyFill="1" applyBorder="1" applyAlignment="1">
      <alignment horizontal="center" vertical="center" wrapText="1"/>
    </xf>
    <xf numFmtId="4" fontId="11" fillId="12" borderId="0" xfId="0" applyNumberFormat="1" applyFont="1" applyFill="1" applyBorder="1" applyAlignment="1">
      <alignment horizontal="center" vertical="center" wrapText="1"/>
    </xf>
    <xf numFmtId="173" fontId="11" fillId="0" borderId="0" xfId="0" applyNumberFormat="1" applyFont="1" applyFill="1" applyBorder="1"/>
    <xf numFmtId="0" fontId="15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3" fontId="21" fillId="12" borderId="2" xfId="0" applyNumberFormat="1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4" fontId="11" fillId="11" borderId="0" xfId="0" applyNumberFormat="1" applyFont="1" applyFill="1" applyBorder="1" applyAlignment="1">
      <alignment horizontal="center" vertical="center" wrapText="1"/>
    </xf>
    <xf numFmtId="3" fontId="66" fillId="0" borderId="2" xfId="3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32" fillId="4" borderId="2" xfId="3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3" fontId="66" fillId="3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3" fontId="58" fillId="0" borderId="2" xfId="3" applyNumberFormat="1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/>
    </xf>
    <xf numFmtId="3" fontId="58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 wrapText="1"/>
    </xf>
    <xf numFmtId="3" fontId="29" fillId="3" borderId="2" xfId="0" applyNumberFormat="1" applyFont="1" applyFill="1" applyBorder="1" applyAlignment="1">
      <alignment horizontal="center" vertical="center" wrapText="1"/>
    </xf>
    <xf numFmtId="3" fontId="66" fillId="3" borderId="2" xfId="0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wrapText="1"/>
    </xf>
    <xf numFmtId="3" fontId="29" fillId="3" borderId="2" xfId="0" applyNumberFormat="1" applyFont="1" applyFill="1" applyBorder="1" applyAlignment="1">
      <alignment horizontal="center" vertical="center"/>
    </xf>
    <xf numFmtId="3" fontId="66" fillId="10" borderId="2" xfId="0" applyNumberFormat="1" applyFont="1" applyFill="1" applyBorder="1" applyAlignment="1">
      <alignment horizontal="center" vertical="center" wrapText="1"/>
    </xf>
    <xf numFmtId="3" fontId="58" fillId="10" borderId="2" xfId="0" applyNumberFormat="1" applyFont="1" applyFill="1" applyBorder="1" applyAlignment="1">
      <alignment horizontal="center" vertical="center" wrapText="1"/>
    </xf>
    <xf numFmtId="3" fontId="66" fillId="10" borderId="2" xfId="0" applyNumberFormat="1" applyFont="1" applyFill="1" applyBorder="1" applyAlignment="1">
      <alignment horizontal="center" vertical="center"/>
    </xf>
    <xf numFmtId="3" fontId="36" fillId="10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/>
    </xf>
    <xf numFmtId="3" fontId="66" fillId="3" borderId="2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66" fillId="4" borderId="2" xfId="0" applyNumberFormat="1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 vertical="center" wrapText="1"/>
    </xf>
    <xf numFmtId="3" fontId="28" fillId="19" borderId="2" xfId="0" applyNumberFormat="1" applyFont="1" applyFill="1" applyBorder="1" applyAlignment="1">
      <alignment horizontal="center" vertical="center" wrapText="1"/>
    </xf>
    <xf numFmtId="3" fontId="32" fillId="19" borderId="2" xfId="0" applyNumberFormat="1" applyFont="1" applyFill="1" applyBorder="1" applyAlignment="1">
      <alignment horizontal="center" vertical="center"/>
    </xf>
    <xf numFmtId="3" fontId="58" fillId="19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 vertical="center"/>
    </xf>
    <xf numFmtId="3" fontId="28" fillId="19" borderId="2" xfId="0" applyNumberFormat="1" applyFont="1" applyFill="1" applyBorder="1" applyAlignment="1">
      <alignment horizontal="center" vertical="center"/>
    </xf>
    <xf numFmtId="3" fontId="32" fillId="1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wrapText="1"/>
    </xf>
    <xf numFmtId="164" fontId="66" fillId="19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/>
    </xf>
    <xf numFmtId="3" fontId="29" fillId="3" borderId="2" xfId="0" applyNumberFormat="1" applyFont="1" applyFill="1" applyBorder="1" applyAlignment="1">
      <alignment horizontal="center"/>
    </xf>
    <xf numFmtId="0" fontId="67" fillId="0" borderId="2" xfId="0" applyFont="1" applyFill="1" applyBorder="1" applyAlignment="1">
      <alignment horizont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53" fillId="3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3" fontId="51" fillId="4" borderId="2" xfId="0" applyNumberFormat="1" applyFont="1" applyFill="1" applyBorder="1" applyAlignment="1">
      <alignment horizontal="center" vertical="center" wrapText="1"/>
    </xf>
    <xf numFmtId="3" fontId="51" fillId="4" borderId="3" xfId="0" applyNumberFormat="1" applyFont="1" applyFill="1" applyBorder="1" applyAlignment="1">
      <alignment horizontal="center" vertical="center" wrapText="1"/>
    </xf>
    <xf numFmtId="4" fontId="12" fillId="9" borderId="3" xfId="0" applyNumberFormat="1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9" fillId="9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4" fontId="37" fillId="7" borderId="0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3" fontId="2" fillId="10" borderId="2" xfId="3" applyNumberFormat="1" applyFont="1" applyFill="1" applyBorder="1" applyAlignment="1">
      <alignment horizontal="center" vertical="center"/>
    </xf>
    <xf numFmtId="3" fontId="29" fillId="10" borderId="2" xfId="3" applyNumberFormat="1" applyFont="1" applyFill="1" applyBorder="1" applyAlignment="1">
      <alignment horizontal="center" vertical="center"/>
    </xf>
    <xf numFmtId="4" fontId="29" fillId="10" borderId="2" xfId="3" applyNumberFormat="1" applyFont="1" applyFill="1" applyBorder="1" applyAlignment="1">
      <alignment horizontal="center" vertical="center"/>
    </xf>
    <xf numFmtId="4" fontId="2" fillId="10" borderId="2" xfId="3" applyNumberFormat="1" applyFont="1" applyFill="1" applyBorder="1" applyAlignment="1">
      <alignment horizontal="center" vertical="center"/>
    </xf>
    <xf numFmtId="4" fontId="3" fillId="10" borderId="2" xfId="3" applyNumberFormat="1" applyFont="1" applyFill="1" applyBorder="1" applyAlignment="1">
      <alignment horizontal="center" vertical="center"/>
    </xf>
    <xf numFmtId="4" fontId="28" fillId="10" borderId="2" xfId="3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3" fontId="28" fillId="10" borderId="2" xfId="3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 wrapText="1"/>
    </xf>
    <xf numFmtId="3" fontId="32" fillId="4" borderId="2" xfId="0" applyNumberFormat="1" applyFont="1" applyFill="1" applyBorder="1" applyAlignment="1">
      <alignment horizontal="center" vertical="center"/>
    </xf>
    <xf numFmtId="3" fontId="58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3" fontId="28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 vertical="center"/>
    </xf>
    <xf numFmtId="4" fontId="32" fillId="3" borderId="2" xfId="3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 wrapText="1"/>
    </xf>
    <xf numFmtId="3" fontId="29" fillId="1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 vertical="center"/>
    </xf>
    <xf numFmtId="164" fontId="29" fillId="19" borderId="2" xfId="0" applyNumberFormat="1" applyFont="1" applyFill="1" applyBorder="1" applyAlignment="1">
      <alignment horizontal="center" vertical="center"/>
    </xf>
    <xf numFmtId="3" fontId="29" fillId="4" borderId="2" xfId="0" applyNumberFormat="1" applyFont="1" applyFill="1" applyBorder="1" applyAlignment="1">
      <alignment horizontal="center"/>
    </xf>
    <xf numFmtId="4" fontId="58" fillId="0" borderId="2" xfId="3" applyNumberFormat="1" applyFont="1" applyFill="1" applyBorder="1" applyAlignment="1">
      <alignment horizontal="center" vertical="center"/>
    </xf>
    <xf numFmtId="4" fontId="58" fillId="3" borderId="2" xfId="3" applyNumberFormat="1" applyFont="1" applyFill="1" applyBorder="1" applyAlignment="1">
      <alignment horizontal="center" vertical="center"/>
    </xf>
    <xf numFmtId="4" fontId="61" fillId="0" borderId="2" xfId="0" applyNumberFormat="1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right"/>
    </xf>
    <xf numFmtId="4" fontId="2" fillId="3" borderId="0" xfId="3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4" fontId="29" fillId="10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/>
    </xf>
    <xf numFmtId="4" fontId="29" fillId="10" borderId="2" xfId="0" applyNumberFormat="1" applyFont="1" applyFill="1" applyBorder="1" applyAlignment="1">
      <alignment horizontal="center"/>
    </xf>
    <xf numFmtId="4" fontId="28" fillId="21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 wrapText="1"/>
    </xf>
    <xf numFmtId="4" fontId="31" fillId="0" borderId="0" xfId="0" applyNumberFormat="1" applyFont="1"/>
    <xf numFmtId="4" fontId="2" fillId="3" borderId="0" xfId="0" applyNumberFormat="1" applyFont="1" applyFill="1" applyBorder="1" applyAlignment="1">
      <alignment horizontal="left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3" fontId="70" fillId="3" borderId="2" xfId="0" applyNumberFormat="1" applyFont="1" applyFill="1" applyBorder="1" applyAlignment="1">
      <alignment horizontal="center" vertical="center" wrapText="1"/>
    </xf>
    <xf numFmtId="4" fontId="58" fillId="18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0" fillId="9" borderId="2" xfId="0" applyFont="1" applyFill="1" applyBorder="1" applyAlignment="1">
      <alignment horizontal="center" vertical="center" wrapText="1" readingOrder="1"/>
    </xf>
    <xf numFmtId="4" fontId="2" fillId="9" borderId="0" xfId="0" applyNumberFormat="1" applyFont="1" applyFill="1" applyBorder="1" applyAlignment="1">
      <alignment horizontal="left" vertical="center" wrapText="1" readingOrder="1"/>
    </xf>
    <xf numFmtId="4" fontId="42" fillId="11" borderId="2" xfId="0" applyNumberFormat="1" applyFont="1" applyFill="1" applyBorder="1" applyAlignment="1">
      <alignment horizontal="center" vertical="center" wrapText="1"/>
    </xf>
    <xf numFmtId="167" fontId="46" fillId="0" borderId="0" xfId="0" applyNumberFormat="1" applyFont="1" applyFill="1" applyBorder="1" applyAlignment="1">
      <alignment horizontal="center" vertical="center" wrapText="1"/>
    </xf>
    <xf numFmtId="4" fontId="39" fillId="11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21" fillId="7" borderId="2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4" fontId="42" fillId="12" borderId="2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4" fontId="3" fillId="14" borderId="2" xfId="3" applyNumberFormat="1" applyFont="1" applyFill="1" applyBorder="1" applyAlignment="1">
      <alignment horizontal="center" vertical="center"/>
    </xf>
    <xf numFmtId="4" fontId="3" fillId="4" borderId="2" xfId="3" applyNumberFormat="1" applyFont="1" applyFill="1" applyBorder="1" applyAlignment="1">
      <alignment horizontal="center" vertical="center"/>
    </xf>
    <xf numFmtId="4" fontId="3" fillId="9" borderId="2" xfId="3" applyNumberFormat="1" applyFont="1" applyFill="1" applyBorder="1" applyAlignment="1">
      <alignment horizontal="center" vertical="center"/>
    </xf>
    <xf numFmtId="4" fontId="2" fillId="9" borderId="2" xfId="1" applyNumberFormat="1" applyFont="1" applyFill="1" applyBorder="1" applyAlignment="1">
      <alignment horizontal="center" vertical="center" wrapText="1" readingOrder="1"/>
    </xf>
    <xf numFmtId="4" fontId="2" fillId="9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vertical="center" wrapText="1" readingOrder="1"/>
    </xf>
    <xf numFmtId="0" fontId="7" fillId="0" borderId="8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6" fillId="0" borderId="3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11" xfId="0" applyFont="1" applyFill="1" applyBorder="1" applyAlignment="1">
      <alignment horizontal="center" vertical="center" wrapText="1" readingOrder="1"/>
    </xf>
    <xf numFmtId="0" fontId="15" fillId="3" borderId="0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2" fillId="10" borderId="3" xfId="3" applyFont="1" applyFill="1" applyBorder="1" applyAlignment="1">
      <alignment horizontal="center" vertical="center"/>
    </xf>
    <xf numFmtId="0" fontId="2" fillId="10" borderId="5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2" fontId="14" fillId="0" borderId="0" xfId="0" applyNumberFormat="1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53" fillId="4" borderId="2" xfId="0" applyFont="1" applyFill="1" applyBorder="1" applyAlignment="1">
      <alignment horizontal="center" vertical="center" wrapText="1"/>
    </xf>
    <xf numFmtId="0" fontId="39" fillId="9" borderId="6" xfId="0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39" fillId="15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4" fillId="0" borderId="0" xfId="0" applyNumberFormat="1" applyFont="1" applyAlignment="1">
      <alignment horizontal="center" vertical="center" wrapText="1"/>
    </xf>
    <xf numFmtId="4" fontId="3" fillId="9" borderId="2" xfId="0" applyNumberFormat="1" applyFont="1" applyFill="1" applyBorder="1" applyAlignment="1">
      <alignment horizontal="center" vertical="center" wrapText="1" readingOrder="1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topLeftCell="A2" zoomScale="70" zoomScaleNormal="70" workbookViewId="0">
      <pane xSplit="4" ySplit="7" topLeftCell="G9" activePane="bottomRight" state="frozen"/>
      <selection activeCell="A2" sqref="A2"/>
      <selection pane="topRight" activeCell="E2" sqref="E2"/>
      <selection pane="bottomLeft" activeCell="A9" sqref="A9"/>
      <selection pane="bottomRight" activeCell="A4" sqref="A4:U4"/>
    </sheetView>
  </sheetViews>
  <sheetFormatPr defaultColWidth="9.109375" defaultRowHeight="13.8" x14ac:dyDescent="0.25"/>
  <cols>
    <col min="1" max="1" width="19.44140625" style="1" customWidth="1"/>
    <col min="2" max="2" width="28.6640625" style="1" customWidth="1"/>
    <col min="3" max="3" width="25.6640625" style="1" customWidth="1"/>
    <col min="4" max="4" width="8.6640625" style="1" customWidth="1"/>
    <col min="5" max="5" width="14.6640625" style="2" hidden="1" customWidth="1"/>
    <col min="6" max="6" width="13.33203125" style="2" hidden="1" customWidth="1"/>
    <col min="7" max="7" width="11.6640625" style="2" customWidth="1"/>
    <col min="8" max="8" width="12.88671875" style="1" bestFit="1" customWidth="1"/>
    <col min="9" max="9" width="12.109375" style="1" bestFit="1" customWidth="1"/>
    <col min="10" max="10" width="18.33203125" style="1" customWidth="1"/>
    <col min="11" max="11" width="16" style="1" customWidth="1"/>
    <col min="12" max="12" width="13.88671875" style="1" customWidth="1"/>
    <col min="13" max="13" width="13.5546875" style="1" customWidth="1"/>
    <col min="14" max="14" width="18.88671875" style="1" customWidth="1"/>
    <col min="15" max="15" width="20.88671875" style="1" customWidth="1"/>
    <col min="16" max="16" width="18.33203125" style="1" customWidth="1"/>
    <col min="17" max="17" width="21.88671875" style="1" hidden="1" customWidth="1"/>
    <col min="18" max="18" width="18.109375" style="1" customWidth="1"/>
    <col min="19" max="19" width="18.5546875" style="2" hidden="1" customWidth="1"/>
    <col min="20" max="20" width="17.6640625" style="2" customWidth="1"/>
    <col min="21" max="21" width="19.44140625" style="2" customWidth="1"/>
    <col min="22" max="22" width="14.6640625" style="1" customWidth="1"/>
    <col min="23" max="23" width="18.44140625" style="1" customWidth="1"/>
    <col min="24" max="24" width="16.109375" style="1" customWidth="1"/>
    <col min="25" max="25" width="12.6640625" style="1" customWidth="1"/>
    <col min="26" max="26" width="14.6640625" style="1" customWidth="1"/>
    <col min="27" max="27" width="6.33203125" style="1" customWidth="1"/>
    <col min="28" max="28" width="13.6640625" style="1" customWidth="1"/>
    <col min="29" max="30" width="14.33203125" style="1" customWidth="1"/>
    <col min="31" max="31" width="14.6640625" style="1" customWidth="1"/>
    <col min="32" max="16384" width="9.109375" style="1"/>
  </cols>
  <sheetData>
    <row r="1" spans="1:31" x14ac:dyDescent="0.25">
      <c r="T1" s="3"/>
    </row>
    <row r="2" spans="1:31" x14ac:dyDescent="0.25">
      <c r="R2" s="4" t="s">
        <v>0</v>
      </c>
      <c r="S2" s="3"/>
    </row>
    <row r="3" spans="1:31" x14ac:dyDescent="0.25">
      <c r="R3" s="4" t="s">
        <v>639</v>
      </c>
      <c r="S3" s="3"/>
    </row>
    <row r="4" spans="1:31" x14ac:dyDescent="0.25">
      <c r="A4" s="830" t="s">
        <v>571</v>
      </c>
      <c r="B4" s="830"/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  <c r="T4" s="830"/>
      <c r="U4" s="830"/>
    </row>
    <row r="5" spans="1:31" x14ac:dyDescent="0.25">
      <c r="A5" s="831" t="s">
        <v>1</v>
      </c>
      <c r="B5" s="831"/>
      <c r="C5" s="831"/>
      <c r="D5" s="5"/>
      <c r="E5" s="6"/>
      <c r="F5" s="6"/>
      <c r="G5" s="6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31" ht="27.6" customHeight="1" x14ac:dyDescent="0.25">
      <c r="A6" s="832" t="s">
        <v>2</v>
      </c>
      <c r="B6" s="832" t="s">
        <v>3</v>
      </c>
      <c r="C6" s="366" t="s">
        <v>4</v>
      </c>
      <c r="D6" s="832" t="s">
        <v>5</v>
      </c>
      <c r="E6" s="833" t="s">
        <v>6</v>
      </c>
      <c r="F6" s="833"/>
      <c r="G6" s="833"/>
      <c r="H6" s="833"/>
      <c r="I6" s="833"/>
      <c r="J6" s="834" t="s">
        <v>7</v>
      </c>
      <c r="K6" s="834"/>
      <c r="L6" s="834"/>
      <c r="M6" s="834"/>
      <c r="N6" s="835" t="s">
        <v>8</v>
      </c>
      <c r="O6" s="835"/>
      <c r="P6" s="835"/>
      <c r="Q6" s="835"/>
      <c r="R6" s="835"/>
      <c r="S6" s="835"/>
      <c r="T6" s="835"/>
      <c r="U6" s="835"/>
    </row>
    <row r="7" spans="1:31" ht="110.4" x14ac:dyDescent="0.25">
      <c r="A7" s="832"/>
      <c r="B7" s="832"/>
      <c r="C7" s="366"/>
      <c r="D7" s="832"/>
      <c r="E7" s="10" t="s">
        <v>476</v>
      </c>
      <c r="F7" s="11" t="s">
        <v>477</v>
      </c>
      <c r="G7" s="445" t="s">
        <v>564</v>
      </c>
      <c r="H7" s="12" t="s">
        <v>439</v>
      </c>
      <c r="I7" s="12" t="s">
        <v>565</v>
      </c>
      <c r="J7" s="425" t="s">
        <v>9</v>
      </c>
      <c r="K7" s="13" t="s">
        <v>10</v>
      </c>
      <c r="L7" s="780" t="s">
        <v>11</v>
      </c>
      <c r="M7" s="14" t="s">
        <v>12</v>
      </c>
      <c r="N7" s="13" t="s">
        <v>566</v>
      </c>
      <c r="O7" s="13" t="s">
        <v>13</v>
      </c>
      <c r="P7" s="780" t="s">
        <v>14</v>
      </c>
      <c r="Q7" s="13" t="s">
        <v>15</v>
      </c>
      <c r="R7" s="14" t="s">
        <v>16</v>
      </c>
      <c r="S7" s="15" t="s">
        <v>17</v>
      </c>
      <c r="T7" s="15" t="s">
        <v>441</v>
      </c>
      <c r="U7" s="15" t="s">
        <v>567</v>
      </c>
    </row>
    <row r="8" spans="1:31" ht="41.4" customHeight="1" x14ac:dyDescent="0.25">
      <c r="A8" s="16" t="s">
        <v>18</v>
      </c>
      <c r="B8" s="16" t="s">
        <v>18</v>
      </c>
      <c r="C8" s="16"/>
      <c r="D8" s="16" t="s">
        <v>19</v>
      </c>
      <c r="E8" s="17" t="s">
        <v>20</v>
      </c>
      <c r="F8" s="17" t="s">
        <v>20</v>
      </c>
      <c r="G8" s="17"/>
      <c r="H8" s="18" t="s">
        <v>20</v>
      </c>
      <c r="I8" s="18" t="s">
        <v>20</v>
      </c>
      <c r="J8" s="13" t="s">
        <v>21</v>
      </c>
      <c r="K8" s="13" t="s">
        <v>21</v>
      </c>
      <c r="L8" s="13" t="s">
        <v>21</v>
      </c>
      <c r="M8" s="14" t="s">
        <v>21</v>
      </c>
      <c r="N8" s="13" t="s">
        <v>21</v>
      </c>
      <c r="O8" s="13" t="s">
        <v>21</v>
      </c>
      <c r="P8" s="13" t="s">
        <v>21</v>
      </c>
      <c r="Q8" s="13"/>
      <c r="R8" s="14" t="s">
        <v>21</v>
      </c>
      <c r="S8" s="15"/>
      <c r="T8" s="15" t="s">
        <v>21</v>
      </c>
      <c r="U8" s="15" t="s">
        <v>21</v>
      </c>
      <c r="W8" s="398" t="s">
        <v>442</v>
      </c>
      <c r="AB8" s="1" t="s">
        <v>568</v>
      </c>
    </row>
    <row r="9" spans="1:31" ht="76.2" customHeight="1" x14ac:dyDescent="0.25">
      <c r="A9" s="815" t="s">
        <v>22</v>
      </c>
      <c r="B9" s="836" t="s">
        <v>112</v>
      </c>
      <c r="C9" s="22" t="s">
        <v>23</v>
      </c>
      <c r="D9" s="19" t="s">
        <v>24</v>
      </c>
      <c r="E9" s="698">
        <f>296+28</f>
        <v>324</v>
      </c>
      <c r="F9" s="682">
        <f>296-21</f>
        <v>275</v>
      </c>
      <c r="G9" s="445">
        <f>215+60</f>
        <v>275</v>
      </c>
      <c r="H9" s="415">
        <f>217+62</f>
        <v>279</v>
      </c>
      <c r="I9" s="415">
        <f>211+63</f>
        <v>274</v>
      </c>
      <c r="J9" s="14">
        <f>SUM(K9:M9)</f>
        <v>80573.570000000007</v>
      </c>
      <c r="K9" s="14">
        <f>36390.31+2198.86</f>
        <v>38589.17</v>
      </c>
      <c r="L9" s="14">
        <v>12790.33</v>
      </c>
      <c r="M9" s="478">
        <v>29194.07</v>
      </c>
      <c r="N9" s="14">
        <f>SUM(O9:R9)</f>
        <v>22157731.75</v>
      </c>
      <c r="O9" s="13">
        <f>G9*K9</f>
        <v>10612021.75</v>
      </c>
      <c r="P9" s="14">
        <f>G9*L9</f>
        <v>3517340.75</v>
      </c>
      <c r="Q9" s="13"/>
      <c r="R9" s="150">
        <f>G9*M9</f>
        <v>8028369.25</v>
      </c>
      <c r="S9" s="149"/>
      <c r="T9" s="149">
        <f>W9</f>
        <v>22480026.030000001</v>
      </c>
      <c r="U9" s="149">
        <f>AB9</f>
        <v>22077158.18</v>
      </c>
      <c r="W9" s="449">
        <f>SUM(X9:AA9)</f>
        <v>22480026.030000001</v>
      </c>
      <c r="X9" s="395">
        <f>H9*K9</f>
        <v>10766378.43</v>
      </c>
      <c r="Y9" s="14">
        <f>H9*L9</f>
        <v>3568502.07</v>
      </c>
      <c r="Z9" s="395">
        <f>H9*M9</f>
        <v>8145145.5300000003</v>
      </c>
      <c r="AB9" s="449">
        <f>SUM(AC9:AF9)</f>
        <v>22077158.18</v>
      </c>
      <c r="AC9" s="395">
        <f>I9*K9</f>
        <v>10573432.58</v>
      </c>
      <c r="AD9" s="14">
        <f>I9*L9</f>
        <v>3504550.42</v>
      </c>
      <c r="AE9" s="395">
        <f>I9*M9</f>
        <v>7999175.1799999997</v>
      </c>
    </row>
    <row r="10" spans="1:31" ht="82.8" x14ac:dyDescent="0.25">
      <c r="A10" s="816"/>
      <c r="B10" s="837"/>
      <c r="C10" s="405" t="s">
        <v>25</v>
      </c>
      <c r="D10" s="19" t="s">
        <v>24</v>
      </c>
      <c r="E10" s="11" t="s">
        <v>26</v>
      </c>
      <c r="F10" s="11" t="s">
        <v>26</v>
      </c>
      <c r="G10" s="11"/>
      <c r="H10" s="415" t="s">
        <v>26</v>
      </c>
      <c r="I10" s="415" t="s">
        <v>26</v>
      </c>
      <c r="J10" s="415" t="s">
        <v>26</v>
      </c>
      <c r="K10" s="12" t="s">
        <v>26</v>
      </c>
      <c r="L10" s="150" t="s">
        <v>26</v>
      </c>
      <c r="M10" s="150" t="s">
        <v>26</v>
      </c>
      <c r="N10" s="13"/>
      <c r="O10" s="13"/>
      <c r="P10" s="150" t="s">
        <v>26</v>
      </c>
      <c r="Q10" s="150"/>
      <c r="R10" s="150" t="s">
        <v>26</v>
      </c>
      <c r="S10" s="149"/>
      <c r="T10" s="149"/>
      <c r="U10" s="149"/>
    </row>
    <row r="11" spans="1:31" x14ac:dyDescent="0.25">
      <c r="A11" s="816"/>
      <c r="B11" s="837"/>
      <c r="C11" s="405" t="s">
        <v>27</v>
      </c>
      <c r="D11" s="19"/>
      <c r="E11" s="698">
        <v>1</v>
      </c>
      <c r="F11" s="682">
        <v>1</v>
      </c>
      <c r="G11" s="11">
        <v>1</v>
      </c>
      <c r="H11" s="415"/>
      <c r="I11" s="415"/>
      <c r="J11" s="14">
        <f>K11</f>
        <v>148440.13</v>
      </c>
      <c r="K11" s="150">
        <v>148440.13</v>
      </c>
      <c r="L11" s="150" t="s">
        <v>26</v>
      </c>
      <c r="M11" s="150" t="s">
        <v>26</v>
      </c>
      <c r="N11" s="13">
        <f>O11</f>
        <v>148440.13</v>
      </c>
      <c r="O11" s="13">
        <f>G11*K11</f>
        <v>148440.13</v>
      </c>
      <c r="P11" s="150" t="s">
        <v>26</v>
      </c>
      <c r="Q11" s="150"/>
      <c r="R11" s="150" t="s">
        <v>26</v>
      </c>
      <c r="S11" s="149"/>
      <c r="T11" s="149">
        <f>H11*K11</f>
        <v>0</v>
      </c>
      <c r="U11" s="149">
        <f>I11*K11</f>
        <v>0</v>
      </c>
    </row>
    <row r="12" spans="1:31" x14ac:dyDescent="0.25">
      <c r="A12" s="816"/>
      <c r="B12" s="837"/>
      <c r="C12" s="405" t="s">
        <v>28</v>
      </c>
      <c r="D12" s="19"/>
      <c r="E12" s="698">
        <f>24-9</f>
        <v>15</v>
      </c>
      <c r="F12" s="682">
        <f>24-9</f>
        <v>15</v>
      </c>
      <c r="G12" s="11">
        <f>15+5</f>
        <v>20</v>
      </c>
      <c r="H12" s="11">
        <v>24</v>
      </c>
      <c r="I12" s="415">
        <v>24</v>
      </c>
      <c r="J12" s="14">
        <f>K12</f>
        <v>164394.18</v>
      </c>
      <c r="K12" s="14">
        <v>164394.18</v>
      </c>
      <c r="L12" s="150" t="s">
        <v>26</v>
      </c>
      <c r="M12" s="150" t="s">
        <v>26</v>
      </c>
      <c r="N12" s="13">
        <f>O12</f>
        <v>3287883.5999999996</v>
      </c>
      <c r="O12" s="13">
        <f t="shared" ref="O12:O18" si="0">G12*K12</f>
        <v>3287883.5999999996</v>
      </c>
      <c r="P12" s="150" t="s">
        <v>26</v>
      </c>
      <c r="Q12" s="150"/>
      <c r="R12" s="150" t="s">
        <v>26</v>
      </c>
      <c r="S12" s="149"/>
      <c r="T12" s="149">
        <f>H12*K12</f>
        <v>3945460.32</v>
      </c>
      <c r="U12" s="149">
        <f>I12*K12</f>
        <v>3945460.32</v>
      </c>
    </row>
    <row r="13" spans="1:31" x14ac:dyDescent="0.25">
      <c r="A13" s="816"/>
      <c r="B13" s="837"/>
      <c r="C13" s="405" t="s">
        <v>29</v>
      </c>
      <c r="D13" s="19"/>
      <c r="E13" s="698">
        <v>4</v>
      </c>
      <c r="F13" s="682">
        <v>4</v>
      </c>
      <c r="G13" s="11">
        <v>4</v>
      </c>
      <c r="H13" s="11">
        <v>4</v>
      </c>
      <c r="I13" s="415">
        <v>4</v>
      </c>
      <c r="J13" s="14">
        <f t="shared" ref="J13:J18" si="1">K13</f>
        <v>196302.28</v>
      </c>
      <c r="K13" s="150">
        <v>196302.28</v>
      </c>
      <c r="L13" s="150" t="s">
        <v>26</v>
      </c>
      <c r="M13" s="150" t="s">
        <v>26</v>
      </c>
      <c r="N13" s="13">
        <f t="shared" ref="N13:N18" si="2">O13</f>
        <v>785209.12</v>
      </c>
      <c r="O13" s="13">
        <f t="shared" si="0"/>
        <v>785209.12</v>
      </c>
      <c r="P13" s="150" t="s">
        <v>26</v>
      </c>
      <c r="Q13" s="150"/>
      <c r="R13" s="150" t="s">
        <v>26</v>
      </c>
      <c r="S13" s="149"/>
      <c r="T13" s="149">
        <f t="shared" ref="T13:T18" si="3">H13*K13</f>
        <v>785209.12</v>
      </c>
      <c r="U13" s="149">
        <f t="shared" ref="U13:U18" si="4">I13*K13</f>
        <v>785209.12</v>
      </c>
    </row>
    <row r="14" spans="1:31" x14ac:dyDescent="0.25">
      <c r="A14" s="816"/>
      <c r="B14" s="837"/>
      <c r="C14" s="405" t="s">
        <v>30</v>
      </c>
      <c r="D14" s="19"/>
      <c r="E14" s="698">
        <f>31+3</f>
        <v>34</v>
      </c>
      <c r="F14" s="682">
        <f>31+3</f>
        <v>34</v>
      </c>
      <c r="G14" s="11">
        <v>34</v>
      </c>
      <c r="H14" s="11">
        <v>34</v>
      </c>
      <c r="I14" s="415">
        <f>37-2</f>
        <v>35</v>
      </c>
      <c r="J14" s="14">
        <f t="shared" si="1"/>
        <v>162574.21</v>
      </c>
      <c r="K14" s="150">
        <v>162574.21</v>
      </c>
      <c r="L14" s="150" t="s">
        <v>26</v>
      </c>
      <c r="M14" s="150" t="s">
        <v>26</v>
      </c>
      <c r="N14" s="13">
        <f t="shared" si="2"/>
        <v>5527523.1399999997</v>
      </c>
      <c r="O14" s="13">
        <f t="shared" si="0"/>
        <v>5527523.1399999997</v>
      </c>
      <c r="P14" s="150" t="s">
        <v>26</v>
      </c>
      <c r="Q14" s="150"/>
      <c r="R14" s="150" t="s">
        <v>26</v>
      </c>
      <c r="S14" s="149"/>
      <c r="T14" s="149">
        <f t="shared" si="3"/>
        <v>5527523.1399999997</v>
      </c>
      <c r="U14" s="149">
        <f t="shared" si="4"/>
        <v>5690097.3499999996</v>
      </c>
    </row>
    <row r="15" spans="1:31" x14ac:dyDescent="0.25">
      <c r="A15" s="816"/>
      <c r="B15" s="837"/>
      <c r="C15" s="405" t="s">
        <v>31</v>
      </c>
      <c r="D15" s="19"/>
      <c r="E15" s="698">
        <v>1</v>
      </c>
      <c r="F15" s="682">
        <f>2-1</f>
        <v>1</v>
      </c>
      <c r="G15" s="11">
        <v>1</v>
      </c>
      <c r="H15" s="415"/>
      <c r="I15" s="415"/>
      <c r="J15" s="14">
        <f t="shared" si="1"/>
        <v>180348.22</v>
      </c>
      <c r="K15" s="150">
        <v>180348.22</v>
      </c>
      <c r="L15" s="150" t="s">
        <v>26</v>
      </c>
      <c r="M15" s="150" t="s">
        <v>26</v>
      </c>
      <c r="N15" s="13">
        <f t="shared" si="2"/>
        <v>180348.22</v>
      </c>
      <c r="O15" s="13">
        <f t="shared" si="0"/>
        <v>180348.22</v>
      </c>
      <c r="P15" s="150" t="s">
        <v>26</v>
      </c>
      <c r="Q15" s="150"/>
      <c r="R15" s="150" t="s">
        <v>26</v>
      </c>
      <c r="S15" s="149"/>
      <c r="T15" s="149">
        <f t="shared" si="3"/>
        <v>0</v>
      </c>
      <c r="U15" s="149">
        <f t="shared" si="4"/>
        <v>0</v>
      </c>
    </row>
    <row r="16" spans="1:31" x14ac:dyDescent="0.25">
      <c r="A16" s="816"/>
      <c r="B16" s="837"/>
      <c r="C16" s="405" t="s">
        <v>32</v>
      </c>
      <c r="D16" s="19"/>
      <c r="E16" s="11"/>
      <c r="F16" s="11"/>
      <c r="G16" s="11">
        <v>0</v>
      </c>
      <c r="H16" s="415"/>
      <c r="I16" s="415"/>
      <c r="J16" s="14">
        <f t="shared" si="1"/>
        <v>204279.3</v>
      </c>
      <c r="K16" s="150">
        <v>204279.3</v>
      </c>
      <c r="L16" s="150"/>
      <c r="M16" s="150"/>
      <c r="N16" s="13">
        <f t="shared" si="2"/>
        <v>0</v>
      </c>
      <c r="O16" s="13">
        <f t="shared" si="0"/>
        <v>0</v>
      </c>
      <c r="P16" s="150" t="s">
        <v>26</v>
      </c>
      <c r="Q16" s="150"/>
      <c r="R16" s="150" t="s">
        <v>26</v>
      </c>
      <c r="S16" s="149"/>
      <c r="T16" s="149">
        <f t="shared" si="3"/>
        <v>0</v>
      </c>
      <c r="U16" s="149">
        <f t="shared" si="4"/>
        <v>0</v>
      </c>
    </row>
    <row r="17" spans="1:31" x14ac:dyDescent="0.25">
      <c r="A17" s="816"/>
      <c r="B17" s="837"/>
      <c r="C17" s="405" t="s">
        <v>33</v>
      </c>
      <c r="D17" s="19"/>
      <c r="E17" s="11"/>
      <c r="F17" s="11"/>
      <c r="G17" s="11">
        <v>0</v>
      </c>
      <c r="H17" s="415"/>
      <c r="I17" s="415"/>
      <c r="J17" s="14">
        <f t="shared" si="1"/>
        <v>202178.64</v>
      </c>
      <c r="K17" s="150">
        <v>202178.64</v>
      </c>
      <c r="L17" s="150" t="s">
        <v>26</v>
      </c>
      <c r="M17" s="150" t="s">
        <v>26</v>
      </c>
      <c r="N17" s="13">
        <f t="shared" si="2"/>
        <v>0</v>
      </c>
      <c r="O17" s="13">
        <f t="shared" si="0"/>
        <v>0</v>
      </c>
      <c r="P17" s="150" t="s">
        <v>26</v>
      </c>
      <c r="Q17" s="150"/>
      <c r="R17" s="150" t="s">
        <v>26</v>
      </c>
      <c r="S17" s="149"/>
      <c r="T17" s="149">
        <f t="shared" si="3"/>
        <v>0</v>
      </c>
      <c r="U17" s="149">
        <f t="shared" si="4"/>
        <v>0</v>
      </c>
    </row>
    <row r="18" spans="1:31" x14ac:dyDescent="0.25">
      <c r="A18" s="816"/>
      <c r="B18" s="837"/>
      <c r="C18" s="405" t="s">
        <v>34</v>
      </c>
      <c r="D18" s="19"/>
      <c r="E18" s="11"/>
      <c r="F18" s="11"/>
      <c r="G18" s="11">
        <v>0</v>
      </c>
      <c r="H18" s="415"/>
      <c r="I18" s="415"/>
      <c r="J18" s="14">
        <f t="shared" si="1"/>
        <v>146900.85999999999</v>
      </c>
      <c r="K18" s="150">
        <v>146900.85999999999</v>
      </c>
      <c r="L18" s="150" t="s">
        <v>26</v>
      </c>
      <c r="M18" s="150" t="s">
        <v>26</v>
      </c>
      <c r="N18" s="13">
        <f t="shared" si="2"/>
        <v>0</v>
      </c>
      <c r="O18" s="13">
        <f t="shared" si="0"/>
        <v>0</v>
      </c>
      <c r="P18" s="150" t="s">
        <v>26</v>
      </c>
      <c r="Q18" s="150"/>
      <c r="R18" s="150" t="s">
        <v>26</v>
      </c>
      <c r="S18" s="149"/>
      <c r="T18" s="149">
        <f t="shared" si="3"/>
        <v>0</v>
      </c>
      <c r="U18" s="149">
        <f t="shared" si="4"/>
        <v>0</v>
      </c>
    </row>
    <row r="19" spans="1:31" ht="82.95" customHeight="1" x14ac:dyDescent="0.25">
      <c r="A19" s="816"/>
      <c r="B19" s="837"/>
      <c r="C19" s="405" t="s">
        <v>35</v>
      </c>
      <c r="D19" s="19" t="s">
        <v>24</v>
      </c>
      <c r="E19" s="11">
        <v>2</v>
      </c>
      <c r="F19" s="683">
        <f>2-1</f>
        <v>1</v>
      </c>
      <c r="G19" s="11">
        <v>2</v>
      </c>
      <c r="H19" s="415">
        <f>1</f>
        <v>1</v>
      </c>
      <c r="I19" s="415">
        <f>1</f>
        <v>1</v>
      </c>
      <c r="J19" s="150">
        <f>SUM(K19:M19)</f>
        <v>489299.83</v>
      </c>
      <c r="K19" s="150">
        <f>445116.57+2198.86</f>
        <v>447315.43</v>
      </c>
      <c r="L19" s="14">
        <v>12790.33</v>
      </c>
      <c r="M19" s="478">
        <v>29194.07</v>
      </c>
      <c r="N19" s="14">
        <f>SUM(O19:R19)</f>
        <v>978599.66</v>
      </c>
      <c r="O19" s="14">
        <f>G19*K19</f>
        <v>894630.86</v>
      </c>
      <c r="P19" s="14">
        <f>G19*L19</f>
        <v>25580.66</v>
      </c>
      <c r="Q19" s="14"/>
      <c r="R19" s="150">
        <f>G19*M19</f>
        <v>58388.14</v>
      </c>
      <c r="S19" s="149"/>
      <c r="T19" s="149">
        <f>H19*J19</f>
        <v>489299.83</v>
      </c>
      <c r="U19" s="149">
        <f>I19*J19</f>
        <v>489299.83</v>
      </c>
      <c r="Y19" s="25"/>
    </row>
    <row r="20" spans="1:31" ht="18.75" customHeight="1" x14ac:dyDescent="0.25">
      <c r="A20" s="816"/>
      <c r="B20" s="837"/>
      <c r="C20" s="24" t="s">
        <v>36</v>
      </c>
      <c r="D20" s="19" t="s">
        <v>37</v>
      </c>
      <c r="E20" s="11">
        <v>12</v>
      </c>
      <c r="F20" s="11">
        <v>12</v>
      </c>
      <c r="G20" s="11">
        <v>12</v>
      </c>
      <c r="H20" s="415">
        <v>12</v>
      </c>
      <c r="I20" s="415">
        <v>12</v>
      </c>
      <c r="J20" s="150">
        <f>SUM(K20:M20)</f>
        <v>234360</v>
      </c>
      <c r="K20" s="150">
        <f>10000*1.5*1.302*12</f>
        <v>234360</v>
      </c>
      <c r="L20" s="384"/>
      <c r="M20" s="14"/>
      <c r="N20" s="14">
        <f>SUM(O20:R20)</f>
        <v>2812320</v>
      </c>
      <c r="O20" s="14">
        <f>G20*K20</f>
        <v>2812320</v>
      </c>
      <c r="P20" s="14"/>
      <c r="Q20" s="14"/>
      <c r="R20" s="150"/>
      <c r="S20" s="149"/>
      <c r="T20" s="149">
        <f>H20*K20-2812320</f>
        <v>0</v>
      </c>
      <c r="U20" s="149">
        <f>I20*K20-2812320</f>
        <v>0</v>
      </c>
    </row>
    <row r="21" spans="1:31" ht="24" customHeight="1" x14ac:dyDescent="0.25">
      <c r="A21" s="816"/>
      <c r="B21" s="838"/>
      <c r="C21" s="417" t="s">
        <v>38</v>
      </c>
      <c r="D21" s="19"/>
      <c r="E21" s="606">
        <f>E9+E19</f>
        <v>326</v>
      </c>
      <c r="F21" s="685">
        <f>F9+F19</f>
        <v>276</v>
      </c>
      <c r="G21" s="684">
        <f>G9+G19</f>
        <v>277</v>
      </c>
      <c r="H21" s="757">
        <f>H9+H19</f>
        <v>280</v>
      </c>
      <c r="I21" s="757">
        <f>I9+I19</f>
        <v>275</v>
      </c>
      <c r="J21" s="13" t="s">
        <v>26</v>
      </c>
      <c r="K21" s="13" t="s">
        <v>26</v>
      </c>
      <c r="L21" s="13" t="s">
        <v>26</v>
      </c>
      <c r="M21" s="14" t="s">
        <v>26</v>
      </c>
      <c r="N21" s="418">
        <f>SUM(N9:N20)</f>
        <v>35878055.619999997</v>
      </c>
      <c r="O21" s="418">
        <f t="shared" ref="O21:U21" si="5">SUM(O9:O20)</f>
        <v>24248376.819999997</v>
      </c>
      <c r="P21" s="418">
        <f t="shared" si="5"/>
        <v>3542921.41</v>
      </c>
      <c r="Q21" s="418">
        <f t="shared" si="5"/>
        <v>0</v>
      </c>
      <c r="R21" s="775">
        <f t="shared" si="5"/>
        <v>8086757.3899999997</v>
      </c>
      <c r="S21" s="418">
        <f t="shared" si="5"/>
        <v>0</v>
      </c>
      <c r="T21" s="418">
        <f t="shared" si="5"/>
        <v>33227518.440000001</v>
      </c>
      <c r="U21" s="418">
        <f t="shared" si="5"/>
        <v>32987224.799999997</v>
      </c>
      <c r="X21" s="25"/>
    </row>
    <row r="22" spans="1:31" ht="75" customHeight="1" x14ac:dyDescent="0.25">
      <c r="A22" s="816"/>
      <c r="B22" s="818" t="s">
        <v>114</v>
      </c>
      <c r="C22" s="22" t="s">
        <v>23</v>
      </c>
      <c r="D22" s="19" t="s">
        <v>24</v>
      </c>
      <c r="E22" s="11">
        <f>358+11</f>
        <v>369</v>
      </c>
      <c r="F22" s="682">
        <f>358+11</f>
        <v>369</v>
      </c>
      <c r="G22" s="11">
        <f>349+17</f>
        <v>366</v>
      </c>
      <c r="H22" s="415">
        <f>349+18</f>
        <v>367</v>
      </c>
      <c r="I22" s="415">
        <f>352+17</f>
        <v>369</v>
      </c>
      <c r="J22" s="14">
        <f>SUM(K22:M22)</f>
        <v>98880.290000000008</v>
      </c>
      <c r="K22" s="14">
        <f>54145.32+2750.57</f>
        <v>56895.89</v>
      </c>
      <c r="L22" s="14">
        <v>12790.33</v>
      </c>
      <c r="M22" s="478">
        <v>29194.07</v>
      </c>
      <c r="N22" s="14">
        <f>SUM(O22:R22)</f>
        <v>36190186.140000001</v>
      </c>
      <c r="O22" s="14">
        <f>G22*K22</f>
        <v>20823895.739999998</v>
      </c>
      <c r="P22" s="14">
        <f>G22*L22</f>
        <v>4681260.78</v>
      </c>
      <c r="Q22" s="150"/>
      <c r="R22" s="150">
        <f>G22*M22</f>
        <v>10685029.619999999</v>
      </c>
      <c r="S22" s="149"/>
      <c r="T22" s="149">
        <f>W22</f>
        <v>36289066.43</v>
      </c>
      <c r="U22" s="149">
        <f>AB22</f>
        <v>36486827.009999998</v>
      </c>
      <c r="W22" s="449">
        <f>SUM(X22:AA22)</f>
        <v>36289066.43</v>
      </c>
      <c r="X22" s="395">
        <f>H22*K22</f>
        <v>20880791.629999999</v>
      </c>
      <c r="Y22" s="14">
        <f>H22*L22</f>
        <v>4694051.1100000003</v>
      </c>
      <c r="Z22" s="395">
        <f>H22*M22</f>
        <v>10714223.689999999</v>
      </c>
      <c r="AB22" s="449">
        <f>SUM(AC22:AF22)</f>
        <v>36486827.009999998</v>
      </c>
      <c r="AC22" s="395">
        <f>I22*K22</f>
        <v>20994583.41</v>
      </c>
      <c r="AD22" s="14">
        <f>I22*L22</f>
        <v>4719631.7699999996</v>
      </c>
      <c r="AE22" s="395">
        <f>I22*M22</f>
        <v>10772611.83</v>
      </c>
    </row>
    <row r="23" spans="1:31" ht="82.8" x14ac:dyDescent="0.25">
      <c r="A23" s="816"/>
      <c r="B23" s="819"/>
      <c r="C23" s="22" t="s">
        <v>39</v>
      </c>
      <c r="D23" s="19" t="s">
        <v>24</v>
      </c>
      <c r="E23" s="11" t="s">
        <v>26</v>
      </c>
      <c r="F23" s="11" t="s">
        <v>26</v>
      </c>
      <c r="G23" s="11" t="s">
        <v>26</v>
      </c>
      <c r="H23" s="415" t="s">
        <v>26</v>
      </c>
      <c r="I23" s="415" t="s">
        <v>26</v>
      </c>
      <c r="J23" s="12" t="s">
        <v>26</v>
      </c>
      <c r="K23" s="12" t="s">
        <v>26</v>
      </c>
      <c r="L23" s="12" t="s">
        <v>26</v>
      </c>
      <c r="M23" s="415"/>
      <c r="N23" s="13"/>
      <c r="O23" s="13"/>
      <c r="P23" s="12" t="s">
        <v>26</v>
      </c>
      <c r="Q23" s="12"/>
      <c r="R23" s="415" t="s">
        <v>26</v>
      </c>
      <c r="S23" s="10"/>
      <c r="T23" s="149"/>
      <c r="U23" s="149"/>
    </row>
    <row r="24" spans="1:31" x14ac:dyDescent="0.25">
      <c r="A24" s="816"/>
      <c r="B24" s="819"/>
      <c r="C24" s="22" t="s">
        <v>29</v>
      </c>
      <c r="D24" s="19" t="s">
        <v>24</v>
      </c>
      <c r="E24" s="696">
        <f>4</f>
        <v>4</v>
      </c>
      <c r="F24" s="695">
        <f>4-1</f>
        <v>3</v>
      </c>
      <c r="G24" s="11">
        <v>4</v>
      </c>
      <c r="H24" s="607">
        <v>4</v>
      </c>
      <c r="I24" s="607">
        <v>4</v>
      </c>
      <c r="J24" s="13">
        <f t="shared" ref="J24:J29" si="6">K24</f>
        <v>119806.54</v>
      </c>
      <c r="K24" s="150">
        <v>119806.54</v>
      </c>
      <c r="L24" s="12" t="s">
        <v>26</v>
      </c>
      <c r="M24" s="415" t="s">
        <v>26</v>
      </c>
      <c r="N24" s="13">
        <f t="shared" ref="N24:N27" si="7">O24</f>
        <v>479226.16</v>
      </c>
      <c r="O24" s="13">
        <f>G24*K24</f>
        <v>479226.16</v>
      </c>
      <c r="P24" s="12" t="s">
        <v>26</v>
      </c>
      <c r="Q24" s="12"/>
      <c r="R24" s="415" t="s">
        <v>26</v>
      </c>
      <c r="S24" s="10"/>
      <c r="T24" s="149">
        <f t="shared" ref="T24:T27" si="8">H24*K24</f>
        <v>479226.16</v>
      </c>
      <c r="U24" s="149">
        <f t="shared" ref="U24:U27" si="9">I24*K24</f>
        <v>479226.16</v>
      </c>
    </row>
    <row r="25" spans="1:31" x14ac:dyDescent="0.25">
      <c r="A25" s="816"/>
      <c r="B25" s="819"/>
      <c r="C25" s="22" t="s">
        <v>31</v>
      </c>
      <c r="D25" s="19" t="s">
        <v>24</v>
      </c>
      <c r="E25" s="607">
        <v>3</v>
      </c>
      <c r="F25" s="695">
        <f>2+1</f>
        <v>3</v>
      </c>
      <c r="G25" s="11">
        <f>3+2</f>
        <v>5</v>
      </c>
      <c r="H25" s="607">
        <f>3+3</f>
        <v>6</v>
      </c>
      <c r="I25" s="607">
        <f>3+2</f>
        <v>5</v>
      </c>
      <c r="J25" s="13">
        <f t="shared" si="6"/>
        <v>310708.38</v>
      </c>
      <c r="K25" s="150">
        <v>310708.38</v>
      </c>
      <c r="L25" s="12" t="s">
        <v>26</v>
      </c>
      <c r="M25" s="415" t="s">
        <v>26</v>
      </c>
      <c r="N25" s="13">
        <f t="shared" si="7"/>
        <v>1553541.9</v>
      </c>
      <c r="O25" s="13">
        <f t="shared" ref="O25:O27" si="10">G25*K25</f>
        <v>1553541.9</v>
      </c>
      <c r="P25" s="12" t="s">
        <v>26</v>
      </c>
      <c r="Q25" s="12"/>
      <c r="R25" s="415" t="s">
        <v>26</v>
      </c>
      <c r="S25" s="10"/>
      <c r="T25" s="149">
        <f t="shared" si="8"/>
        <v>1864250.28</v>
      </c>
      <c r="U25" s="149">
        <f t="shared" si="9"/>
        <v>1553541.9</v>
      </c>
    </row>
    <row r="26" spans="1:31" x14ac:dyDescent="0.25">
      <c r="A26" s="816"/>
      <c r="B26" s="819"/>
      <c r="C26" s="22" t="s">
        <v>33</v>
      </c>
      <c r="D26" s="19" t="s">
        <v>24</v>
      </c>
      <c r="E26" s="607">
        <v>1</v>
      </c>
      <c r="F26" s="686">
        <v>1</v>
      </c>
      <c r="G26" s="11">
        <v>1</v>
      </c>
      <c r="H26" s="607">
        <v>1</v>
      </c>
      <c r="I26" s="607">
        <v>1</v>
      </c>
      <c r="J26" s="13">
        <f t="shared" si="6"/>
        <v>26113.16</v>
      </c>
      <c r="K26" s="150">
        <v>26113.16</v>
      </c>
      <c r="L26" s="12" t="s">
        <v>26</v>
      </c>
      <c r="M26" s="415" t="s">
        <v>26</v>
      </c>
      <c r="N26" s="13">
        <f t="shared" si="7"/>
        <v>26113.16</v>
      </c>
      <c r="O26" s="13">
        <f t="shared" si="10"/>
        <v>26113.16</v>
      </c>
      <c r="P26" s="12" t="s">
        <v>26</v>
      </c>
      <c r="Q26" s="12"/>
      <c r="R26" s="415" t="s">
        <v>26</v>
      </c>
      <c r="S26" s="10"/>
      <c r="T26" s="149">
        <f t="shared" si="8"/>
        <v>26113.16</v>
      </c>
      <c r="U26" s="149">
        <f t="shared" si="9"/>
        <v>26113.16</v>
      </c>
    </row>
    <row r="27" spans="1:31" x14ac:dyDescent="0.25">
      <c r="A27" s="816"/>
      <c r="B27" s="819"/>
      <c r="C27" s="22" t="s">
        <v>34</v>
      </c>
      <c r="D27" s="19" t="s">
        <v>24</v>
      </c>
      <c r="E27" s="696">
        <f>5+1</f>
        <v>6</v>
      </c>
      <c r="F27" s="686">
        <f>2+7</f>
        <v>9</v>
      </c>
      <c r="G27" s="11">
        <v>7</v>
      </c>
      <c r="H27" s="607">
        <v>7</v>
      </c>
      <c r="I27" s="607">
        <v>7</v>
      </c>
      <c r="J27" s="13">
        <f t="shared" si="6"/>
        <v>18697.54</v>
      </c>
      <c r="K27" s="150">
        <v>18697.54</v>
      </c>
      <c r="L27" s="12" t="s">
        <v>26</v>
      </c>
      <c r="M27" s="415" t="s">
        <v>26</v>
      </c>
      <c r="N27" s="13">
        <f t="shared" si="7"/>
        <v>130882.78</v>
      </c>
      <c r="O27" s="13">
        <f t="shared" si="10"/>
        <v>130882.78</v>
      </c>
      <c r="P27" s="12" t="s">
        <v>26</v>
      </c>
      <c r="Q27" s="12"/>
      <c r="R27" s="415" t="s">
        <v>26</v>
      </c>
      <c r="S27" s="10"/>
      <c r="T27" s="149">
        <f t="shared" si="8"/>
        <v>130882.78</v>
      </c>
      <c r="U27" s="149">
        <f t="shared" si="9"/>
        <v>130882.78</v>
      </c>
    </row>
    <row r="28" spans="1:31" ht="82.95" customHeight="1" x14ac:dyDescent="0.25">
      <c r="A28" s="816"/>
      <c r="B28" s="820"/>
      <c r="C28" s="22" t="s">
        <v>35</v>
      </c>
      <c r="D28" s="19" t="s">
        <v>24</v>
      </c>
      <c r="E28" s="607">
        <f>4</f>
        <v>4</v>
      </c>
      <c r="F28" s="686">
        <f>4-1</f>
        <v>3</v>
      </c>
      <c r="G28" s="11">
        <v>4</v>
      </c>
      <c r="H28" s="607">
        <f>5-4</f>
        <v>1</v>
      </c>
      <c r="I28" s="607">
        <f>2-1</f>
        <v>1</v>
      </c>
      <c r="J28" s="13">
        <f t="shared" si="6"/>
        <v>504480.39</v>
      </c>
      <c r="K28" s="150">
        <f>501729.82+2750.57</f>
        <v>504480.39</v>
      </c>
      <c r="L28" s="14">
        <v>12790.33</v>
      </c>
      <c r="M28" s="478">
        <v>29194.07</v>
      </c>
      <c r="N28" s="14">
        <f>SUM(O28:R28)</f>
        <v>2185859.16</v>
      </c>
      <c r="O28" s="14">
        <f>G28*K28</f>
        <v>2017921.56</v>
      </c>
      <c r="P28" s="14">
        <f>G28*L28</f>
        <v>51161.32</v>
      </c>
      <c r="Q28" s="150"/>
      <c r="R28" s="150">
        <f>G28*M28</f>
        <v>116776.28</v>
      </c>
      <c r="S28" s="149"/>
      <c r="T28" s="149">
        <f>W28</f>
        <v>546464.79</v>
      </c>
      <c r="U28" s="149">
        <f>AB28</f>
        <v>546464.79</v>
      </c>
      <c r="W28" s="449">
        <f>SUM(X28:AA28)</f>
        <v>546464.79</v>
      </c>
      <c r="X28" s="395">
        <f>H28*K28</f>
        <v>504480.39</v>
      </c>
      <c r="Y28" s="14">
        <f>H28*L28</f>
        <v>12790.33</v>
      </c>
      <c r="Z28" s="395">
        <f>H28*M28</f>
        <v>29194.07</v>
      </c>
      <c r="AB28" s="449">
        <f>SUM(AC28:AF28)</f>
        <v>546464.79</v>
      </c>
      <c r="AC28" s="395">
        <f>I28*K28</f>
        <v>504480.39</v>
      </c>
      <c r="AD28" s="14">
        <f>I28*L28</f>
        <v>12790.33</v>
      </c>
      <c r="AE28" s="395">
        <f>I28*M28</f>
        <v>29194.07</v>
      </c>
    </row>
    <row r="29" spans="1:31" x14ac:dyDescent="0.25">
      <c r="A29" s="816"/>
      <c r="B29" s="402"/>
      <c r="C29" s="419" t="s">
        <v>36</v>
      </c>
      <c r="D29" s="19" t="s">
        <v>37</v>
      </c>
      <c r="E29" s="607">
        <v>15</v>
      </c>
      <c r="F29" s="607">
        <f>14+1</f>
        <v>15</v>
      </c>
      <c r="G29" s="11">
        <v>15</v>
      </c>
      <c r="H29" s="607">
        <f>14+1</f>
        <v>15</v>
      </c>
      <c r="I29" s="607">
        <f>14+1</f>
        <v>15</v>
      </c>
      <c r="J29" s="13">
        <f t="shared" si="6"/>
        <v>234360</v>
      </c>
      <c r="K29" s="395">
        <f>10000*1.5*1.302*12</f>
        <v>234360</v>
      </c>
      <c r="L29" s="384"/>
      <c r="M29" s="14"/>
      <c r="N29" s="14">
        <f>SUM(O29:R29)</f>
        <v>3515400</v>
      </c>
      <c r="O29" s="478">
        <f>G29*K29</f>
        <v>3515400</v>
      </c>
      <c r="P29" s="14"/>
      <c r="Q29" s="150"/>
      <c r="R29" s="150"/>
      <c r="S29" s="149"/>
      <c r="T29" s="150">
        <f>H29*K29-3515400</f>
        <v>0</v>
      </c>
      <c r="U29" s="150">
        <f>I29*K29-3515400</f>
        <v>0</v>
      </c>
    </row>
    <row r="30" spans="1:31" ht="23.4" customHeight="1" x14ac:dyDescent="0.25">
      <c r="A30" s="816"/>
      <c r="B30" s="402"/>
      <c r="C30" s="420" t="s">
        <v>38</v>
      </c>
      <c r="D30" s="19"/>
      <c r="E30" s="608">
        <f>E22+E28</f>
        <v>373</v>
      </c>
      <c r="F30" s="695">
        <f>F22+F28</f>
        <v>372</v>
      </c>
      <c r="G30" s="688">
        <f>G22+G28</f>
        <v>370</v>
      </c>
      <c r="H30" s="760">
        <f>H22+H28</f>
        <v>368</v>
      </c>
      <c r="I30" s="760">
        <f>I22+I28</f>
        <v>370</v>
      </c>
      <c r="J30" s="12" t="s">
        <v>26</v>
      </c>
      <c r="K30" s="12" t="s">
        <v>26</v>
      </c>
      <c r="L30" s="12" t="s">
        <v>26</v>
      </c>
      <c r="M30" s="415" t="s">
        <v>26</v>
      </c>
      <c r="N30" s="413">
        <f>SUM(N22:N29)</f>
        <v>44081209.299999997</v>
      </c>
      <c r="O30" s="413">
        <f t="shared" ref="O30:U30" si="11">SUM(O22:O29)</f>
        <v>28546981.299999997</v>
      </c>
      <c r="P30" s="413">
        <f t="shared" si="11"/>
        <v>4732422.1000000006</v>
      </c>
      <c r="Q30" s="413">
        <f t="shared" si="11"/>
        <v>0</v>
      </c>
      <c r="R30" s="646">
        <f t="shared" si="11"/>
        <v>10801805.899999999</v>
      </c>
      <c r="S30" s="413">
        <f t="shared" si="11"/>
        <v>0</v>
      </c>
      <c r="T30" s="413">
        <f t="shared" si="11"/>
        <v>39336003.599999994</v>
      </c>
      <c r="U30" s="413">
        <f t="shared" si="11"/>
        <v>39223055.79999999</v>
      </c>
    </row>
    <row r="31" spans="1:31" ht="74.400000000000006" customHeight="1" x14ac:dyDescent="0.25">
      <c r="A31" s="816"/>
      <c r="B31" s="818" t="s">
        <v>113</v>
      </c>
      <c r="C31" s="22" t="s">
        <v>23</v>
      </c>
      <c r="D31" s="19" t="s">
        <v>24</v>
      </c>
      <c r="E31" s="607">
        <f>47-1</f>
        <v>46</v>
      </c>
      <c r="F31" s="686">
        <f>47-12</f>
        <v>35</v>
      </c>
      <c r="G31" s="11">
        <v>35</v>
      </c>
      <c r="H31" s="444">
        <v>42</v>
      </c>
      <c r="I31" s="444">
        <v>50</v>
      </c>
      <c r="J31" s="14">
        <f>SUM(K31:M31)</f>
        <v>114855.91</v>
      </c>
      <c r="K31" s="14">
        <f>70145.11+2726.4</f>
        <v>72871.509999999995</v>
      </c>
      <c r="L31" s="14">
        <v>12790.33</v>
      </c>
      <c r="M31" s="478">
        <v>29194.07</v>
      </c>
      <c r="N31" s="150">
        <f>SUM(O31:R31)</f>
        <v>4019956.8499999996</v>
      </c>
      <c r="O31" s="150">
        <f>G31*K31</f>
        <v>2550502.8499999996</v>
      </c>
      <c r="P31" s="14">
        <f>G31*L31</f>
        <v>447661.55</v>
      </c>
      <c r="Q31" s="150"/>
      <c r="R31" s="150">
        <f>G31*M31</f>
        <v>1021792.45</v>
      </c>
      <c r="S31" s="149"/>
      <c r="T31" s="149">
        <f>W31</f>
        <v>4823948.22</v>
      </c>
      <c r="U31" s="149">
        <f>AB31</f>
        <v>5742795.5</v>
      </c>
      <c r="W31" s="449">
        <f>SUM(X31:AA31)</f>
        <v>4823948.22</v>
      </c>
      <c r="X31" s="395">
        <f>H31*K31</f>
        <v>3060603.42</v>
      </c>
      <c r="Y31" s="14">
        <f>H31*L31</f>
        <v>537193.86</v>
      </c>
      <c r="Z31" s="395">
        <f>H31*M31</f>
        <v>1226150.94</v>
      </c>
      <c r="AB31" s="449">
        <f>SUM(AC31:AF31)</f>
        <v>5742795.5</v>
      </c>
      <c r="AC31" s="395">
        <f>I31*K31</f>
        <v>3643575.4999999995</v>
      </c>
      <c r="AD31" s="14">
        <f>I31*L31</f>
        <v>639516.5</v>
      </c>
      <c r="AE31" s="395">
        <f>I31*M31</f>
        <v>1459703.5</v>
      </c>
    </row>
    <row r="32" spans="1:31" ht="82.8" x14ac:dyDescent="0.25">
      <c r="A32" s="816"/>
      <c r="B32" s="819"/>
      <c r="C32" s="405" t="s">
        <v>39</v>
      </c>
      <c r="D32" s="19" t="s">
        <v>24</v>
      </c>
      <c r="E32" s="11" t="s">
        <v>26</v>
      </c>
      <c r="F32" s="11" t="s">
        <v>26</v>
      </c>
      <c r="G32" s="11" t="s">
        <v>26</v>
      </c>
      <c r="H32" s="415" t="s">
        <v>26</v>
      </c>
      <c r="I32" s="415" t="s">
        <v>26</v>
      </c>
      <c r="J32" s="415" t="s">
        <v>26</v>
      </c>
      <c r="K32" s="415" t="s">
        <v>26</v>
      </c>
      <c r="L32" s="415" t="s">
        <v>26</v>
      </c>
      <c r="M32" s="415" t="s">
        <v>26</v>
      </c>
      <c r="N32" s="13"/>
      <c r="O32" s="13"/>
      <c r="P32" s="12" t="s">
        <v>26</v>
      </c>
      <c r="Q32" s="12"/>
      <c r="R32" s="415" t="s">
        <v>26</v>
      </c>
      <c r="S32" s="10"/>
      <c r="T32" s="149"/>
      <c r="U32" s="149"/>
    </row>
    <row r="33" spans="1:31" ht="20.399999999999999" customHeight="1" x14ac:dyDescent="0.25">
      <c r="A33" s="816"/>
      <c r="B33" s="819"/>
      <c r="C33" s="405" t="s">
        <v>29</v>
      </c>
      <c r="D33" s="19" t="s">
        <v>24</v>
      </c>
      <c r="E33" s="11">
        <v>1</v>
      </c>
      <c r="F33" s="682">
        <v>1</v>
      </c>
      <c r="G33" s="11">
        <v>1</v>
      </c>
      <c r="H33" s="415">
        <v>0</v>
      </c>
      <c r="I33" s="415">
        <v>0</v>
      </c>
      <c r="J33" s="13">
        <f>K33</f>
        <v>122576.58</v>
      </c>
      <c r="K33" s="150">
        <v>122576.58</v>
      </c>
      <c r="L33" s="12" t="s">
        <v>26</v>
      </c>
      <c r="M33" s="415" t="s">
        <v>26</v>
      </c>
      <c r="N33" s="13">
        <f>O33</f>
        <v>122576.58</v>
      </c>
      <c r="O33" s="13">
        <f>G33*K33</f>
        <v>122576.58</v>
      </c>
      <c r="P33" s="12" t="s">
        <v>26</v>
      </c>
      <c r="Q33" s="12"/>
      <c r="R33" s="415" t="s">
        <v>26</v>
      </c>
      <c r="S33" s="10"/>
      <c r="T33" s="149">
        <f>H33*K33</f>
        <v>0</v>
      </c>
      <c r="U33" s="149">
        <f>I33*K33</f>
        <v>0</v>
      </c>
    </row>
    <row r="34" spans="1:31" ht="82.95" customHeight="1" x14ac:dyDescent="0.25">
      <c r="A34" s="816"/>
      <c r="B34" s="819"/>
      <c r="C34" s="405" t="s">
        <v>35</v>
      </c>
      <c r="D34" s="19" t="s">
        <v>24</v>
      </c>
      <c r="E34" s="607">
        <v>1</v>
      </c>
      <c r="F34" s="686">
        <v>1</v>
      </c>
      <c r="G34" s="11">
        <v>1</v>
      </c>
      <c r="H34" s="444">
        <v>0</v>
      </c>
      <c r="I34" s="444">
        <v>0</v>
      </c>
      <c r="J34" s="384">
        <f>SUM(K34:M34)</f>
        <v>601841.6</v>
      </c>
      <c r="K34" s="150">
        <f>557130.8+2726.4</f>
        <v>559857.20000000007</v>
      </c>
      <c r="L34" s="14">
        <v>12790.33</v>
      </c>
      <c r="M34" s="478">
        <v>29194.07</v>
      </c>
      <c r="N34" s="14">
        <f>SUM(O34:R34)</f>
        <v>601841.6</v>
      </c>
      <c r="O34" s="641">
        <f>G34*K34</f>
        <v>559857.20000000007</v>
      </c>
      <c r="P34" s="14">
        <f>G34*L34</f>
        <v>12790.33</v>
      </c>
      <c r="Q34" s="150"/>
      <c r="R34" s="150">
        <f>G34*M34</f>
        <v>29194.07</v>
      </c>
      <c r="S34" s="149"/>
      <c r="T34" s="149">
        <f>W34</f>
        <v>0</v>
      </c>
      <c r="U34" s="149">
        <f>AB34</f>
        <v>0</v>
      </c>
      <c r="W34" s="449">
        <f>SUM(X34:AA34)</f>
        <v>0</v>
      </c>
      <c r="X34" s="395">
        <f>H34*K34</f>
        <v>0</v>
      </c>
      <c r="Y34" s="14">
        <f>H34*L34</f>
        <v>0</v>
      </c>
      <c r="Z34" s="395">
        <f>H34*M34</f>
        <v>0</v>
      </c>
      <c r="AB34" s="449">
        <f>SUM(AC34:AF34)</f>
        <v>0</v>
      </c>
      <c r="AC34" s="395">
        <f>I34*K34</f>
        <v>0</v>
      </c>
      <c r="AD34" s="14">
        <f>I34*L34</f>
        <v>0</v>
      </c>
      <c r="AE34" s="395">
        <f>I34*M34</f>
        <v>0</v>
      </c>
    </row>
    <row r="35" spans="1:31" ht="82.8" x14ac:dyDescent="0.25">
      <c r="A35" s="816"/>
      <c r="B35" s="820"/>
      <c r="C35" s="405" t="s">
        <v>40</v>
      </c>
      <c r="D35" s="19" t="s">
        <v>24</v>
      </c>
      <c r="E35" s="607">
        <f>28-2</f>
        <v>26</v>
      </c>
      <c r="F35" s="686">
        <f>28-4</f>
        <v>24</v>
      </c>
      <c r="G35" s="11">
        <f>25+7</f>
        <v>32</v>
      </c>
      <c r="H35" s="444">
        <f>28+7</f>
        <v>35</v>
      </c>
      <c r="I35" s="444">
        <v>25</v>
      </c>
      <c r="J35" s="384">
        <f>SUM(K35:M35)</f>
        <v>105797.73999999999</v>
      </c>
      <c r="K35" s="150">
        <f>61086.94+2726.4</f>
        <v>63813.340000000004</v>
      </c>
      <c r="L35" s="14">
        <v>12790.33</v>
      </c>
      <c r="M35" s="478">
        <v>29194.07</v>
      </c>
      <c r="N35" s="150">
        <f>SUM(O35:R35)</f>
        <v>3385527.6799999997</v>
      </c>
      <c r="O35" s="395">
        <f>G35*K35</f>
        <v>2042026.8800000001</v>
      </c>
      <c r="P35" s="14">
        <f>G35*L35</f>
        <v>409290.56</v>
      </c>
      <c r="Q35" s="415" t="s">
        <v>26</v>
      </c>
      <c r="R35" s="14">
        <f>G35*M35</f>
        <v>934210.24</v>
      </c>
      <c r="S35" s="11" t="s">
        <v>26</v>
      </c>
      <c r="T35" s="149">
        <f>W35</f>
        <v>3702920.8999999994</v>
      </c>
      <c r="U35" s="149">
        <f>AB35</f>
        <v>2644943.5</v>
      </c>
      <c r="W35" s="449">
        <f>SUM(X35:AA35)</f>
        <v>3702920.8999999994</v>
      </c>
      <c r="X35" s="395">
        <f>H35*K35</f>
        <v>2233466.9</v>
      </c>
      <c r="Y35" s="14">
        <f>H35*L35</f>
        <v>447661.55</v>
      </c>
      <c r="Z35" s="395">
        <f>H35*M35</f>
        <v>1021792.45</v>
      </c>
      <c r="AB35" s="449">
        <f>SUM(AC35:AF35)</f>
        <v>2644943.5</v>
      </c>
      <c r="AC35" s="395">
        <f>I35*K35</f>
        <v>1595333.5</v>
      </c>
      <c r="AD35" s="14">
        <f>I35*L35</f>
        <v>319758.25</v>
      </c>
      <c r="AE35" s="395">
        <f>I35*M35</f>
        <v>729851.75</v>
      </c>
    </row>
    <row r="36" spans="1:31" x14ac:dyDescent="0.25">
      <c r="A36" s="816"/>
      <c r="B36" s="403"/>
      <c r="C36" s="416" t="s">
        <v>36</v>
      </c>
      <c r="D36" s="19" t="s">
        <v>37</v>
      </c>
      <c r="E36" s="607">
        <v>4</v>
      </c>
      <c r="F36" s="607">
        <v>4</v>
      </c>
      <c r="G36" s="11">
        <v>4</v>
      </c>
      <c r="H36" s="444">
        <v>4</v>
      </c>
      <c r="I36" s="444">
        <v>4</v>
      </c>
      <c r="J36" s="395">
        <f>K36+L36</f>
        <v>234360</v>
      </c>
      <c r="K36" s="395">
        <f>10000*1.5*1.302*12</f>
        <v>234360</v>
      </c>
      <c r="L36" s="384"/>
      <c r="M36" s="14"/>
      <c r="N36" s="150">
        <f>SUM(O36:R36)</f>
        <v>937440</v>
      </c>
      <c r="O36" s="449">
        <f>G36*K36</f>
        <v>937440</v>
      </c>
      <c r="P36" s="13"/>
      <c r="Q36" s="12"/>
      <c r="R36" s="14"/>
      <c r="S36" s="10"/>
      <c r="T36" s="340">
        <f>H36*K36-937440</f>
        <v>0</v>
      </c>
      <c r="U36" s="340">
        <f>I36*K36-937440</f>
        <v>0</v>
      </c>
    </row>
    <row r="37" spans="1:31" ht="25.95" customHeight="1" x14ac:dyDescent="0.25">
      <c r="A37" s="816"/>
      <c r="B37" s="402"/>
      <c r="C37" s="417" t="s">
        <v>38</v>
      </c>
      <c r="D37" s="19"/>
      <c r="E37" s="608">
        <f>E31+E34+E35</f>
        <v>73</v>
      </c>
      <c r="F37" s="695">
        <f>F31+F34+F35</f>
        <v>60</v>
      </c>
      <c r="G37" s="688">
        <f>G31+G34+G35</f>
        <v>68</v>
      </c>
      <c r="H37" s="688">
        <f t="shared" ref="H37:I37" si="12">H31+H34+H35</f>
        <v>77</v>
      </c>
      <c r="I37" s="688">
        <f t="shared" si="12"/>
        <v>75</v>
      </c>
      <c r="J37" s="395" t="s">
        <v>26</v>
      </c>
      <c r="K37" s="395" t="s">
        <v>26</v>
      </c>
      <c r="L37" s="395" t="s">
        <v>26</v>
      </c>
      <c r="M37" s="150" t="s">
        <v>26</v>
      </c>
      <c r="N37" s="413">
        <f>SUM(N31:N36)</f>
        <v>9067342.709999999</v>
      </c>
      <c r="O37" s="413">
        <f t="shared" ref="O37:U37" si="13">SUM(O31:O36)</f>
        <v>6212403.5099999998</v>
      </c>
      <c r="P37" s="413">
        <f t="shared" si="13"/>
        <v>869742.44</v>
      </c>
      <c r="Q37" s="413">
        <f t="shared" si="13"/>
        <v>0</v>
      </c>
      <c r="R37" s="646">
        <f t="shared" si="13"/>
        <v>1985196.76</v>
      </c>
      <c r="S37" s="413">
        <f t="shared" si="13"/>
        <v>0</v>
      </c>
      <c r="T37" s="413">
        <f t="shared" si="13"/>
        <v>8526869.1199999992</v>
      </c>
      <c r="U37" s="413">
        <f t="shared" si="13"/>
        <v>8387739</v>
      </c>
    </row>
    <row r="38" spans="1:31" ht="52.2" customHeight="1" x14ac:dyDescent="0.25">
      <c r="A38" s="816"/>
      <c r="B38" s="823" t="s">
        <v>115</v>
      </c>
      <c r="C38" s="821" t="s">
        <v>41</v>
      </c>
      <c r="D38" s="19" t="s">
        <v>24</v>
      </c>
      <c r="E38" s="696">
        <f>1250+225-118+112</f>
        <v>1469</v>
      </c>
      <c r="F38" s="694">
        <f>1199+270</f>
        <v>1469</v>
      </c>
      <c r="G38" s="788">
        <v>1469</v>
      </c>
      <c r="H38" s="694">
        <f>1250+225</f>
        <v>1475</v>
      </c>
      <c r="I38" s="694">
        <f>1250+227</f>
        <v>1477</v>
      </c>
      <c r="J38" s="150">
        <f>K38</f>
        <v>5125.76</v>
      </c>
      <c r="K38" s="150">
        <v>5125.76</v>
      </c>
      <c r="L38" s="395" t="s">
        <v>26</v>
      </c>
      <c r="M38" s="150" t="s">
        <v>26</v>
      </c>
      <c r="N38" s="395">
        <f>SUM(O38:R38)</f>
        <v>7529741.4400000004</v>
      </c>
      <c r="O38" s="150">
        <f>G38*K38</f>
        <v>7529741.4400000004</v>
      </c>
      <c r="P38" s="395" t="s">
        <v>26</v>
      </c>
      <c r="Q38" s="395"/>
      <c r="R38" s="150" t="s">
        <v>26</v>
      </c>
      <c r="S38" s="396"/>
      <c r="T38" s="149">
        <f>H38*K38</f>
        <v>7560496</v>
      </c>
      <c r="U38" s="149">
        <f>I38*K38</f>
        <v>7570747.5200000005</v>
      </c>
      <c r="W38" s="762" t="s">
        <v>583</v>
      </c>
      <c r="AC38" s="1" t="s">
        <v>42</v>
      </c>
    </row>
    <row r="39" spans="1:31" ht="52.95" customHeight="1" x14ac:dyDescent="0.25">
      <c r="A39" s="816"/>
      <c r="B39" s="824"/>
      <c r="C39" s="822"/>
      <c r="D39" s="392" t="s">
        <v>235</v>
      </c>
      <c r="E39" s="611">
        <f>159907</f>
        <v>159907</v>
      </c>
      <c r="F39" s="701">
        <v>202619</v>
      </c>
      <c r="G39" s="699">
        <f>202619+1231</f>
        <v>203850</v>
      </c>
      <c r="H39" s="704">
        <f>162164+42356</f>
        <v>204520</v>
      </c>
      <c r="I39" s="704">
        <f>162100+42910</f>
        <v>205010</v>
      </c>
      <c r="J39" s="393">
        <f>K39</f>
        <v>36.937657297032132</v>
      </c>
      <c r="K39" s="394">
        <f>N39/G39</f>
        <v>36.937657297032132</v>
      </c>
      <c r="L39" s="393" t="s">
        <v>26</v>
      </c>
      <c r="M39" s="394" t="s">
        <v>26</v>
      </c>
      <c r="N39" s="394">
        <f>N38</f>
        <v>7529741.4400000004</v>
      </c>
      <c r="O39" s="393">
        <f>O38</f>
        <v>7529741.4400000004</v>
      </c>
      <c r="P39" s="393" t="s">
        <v>26</v>
      </c>
      <c r="Q39" s="393"/>
      <c r="R39" s="394" t="s">
        <v>26</v>
      </c>
      <c r="S39" s="393"/>
      <c r="T39" s="393">
        <f>(T38/G39)*H39</f>
        <v>7585345.3123375038</v>
      </c>
      <c r="U39" s="393">
        <f>U38/G39*I39</f>
        <v>7613828.545868041</v>
      </c>
    </row>
    <row r="40" spans="1:31" ht="24" customHeight="1" x14ac:dyDescent="0.25">
      <c r="A40" s="816"/>
      <c r="B40" s="390"/>
      <c r="C40" s="420" t="s">
        <v>38</v>
      </c>
      <c r="D40" s="19" t="s">
        <v>24</v>
      </c>
      <c r="E40" s="607">
        <f>SUM(E38:E38)</f>
        <v>1469</v>
      </c>
      <c r="F40" s="607">
        <f>SUM(F38:F38)</f>
        <v>1469</v>
      </c>
      <c r="G40" s="445">
        <f>G38</f>
        <v>1469</v>
      </c>
      <c r="H40" s="694">
        <f>SUM(H38:H38)</f>
        <v>1475</v>
      </c>
      <c r="I40" s="694">
        <f>SUM(I38:I38)</f>
        <v>1477</v>
      </c>
      <c r="J40" s="395" t="s">
        <v>26</v>
      </c>
      <c r="K40" s="395" t="s">
        <v>26</v>
      </c>
      <c r="L40" s="395" t="s">
        <v>26</v>
      </c>
      <c r="M40" s="150">
        <f t="shared" ref="M40:U40" si="14">SUM(M38:M38)</f>
        <v>0</v>
      </c>
      <c r="N40" s="153">
        <f t="shared" si="14"/>
        <v>7529741.4400000004</v>
      </c>
      <c r="O40" s="395">
        <f t="shared" si="14"/>
        <v>7529741.4400000004</v>
      </c>
      <c r="P40" s="395">
        <f t="shared" si="14"/>
        <v>0</v>
      </c>
      <c r="Q40" s="395"/>
      <c r="R40" s="150">
        <f t="shared" si="14"/>
        <v>0</v>
      </c>
      <c r="S40" s="396"/>
      <c r="T40" s="396">
        <f t="shared" si="14"/>
        <v>7560496</v>
      </c>
      <c r="U40" s="396">
        <f t="shared" si="14"/>
        <v>7570747.5200000005</v>
      </c>
    </row>
    <row r="41" spans="1:31" ht="27.6" x14ac:dyDescent="0.25">
      <c r="A41" s="816"/>
      <c r="B41" s="416" t="s">
        <v>480</v>
      </c>
      <c r="C41" s="27" t="s">
        <v>44</v>
      </c>
      <c r="D41" s="19" t="s">
        <v>24</v>
      </c>
      <c r="E41" s="607">
        <v>1</v>
      </c>
      <c r="F41" s="607">
        <v>1</v>
      </c>
      <c r="G41" s="11">
        <v>1</v>
      </c>
      <c r="H41" s="444">
        <v>0</v>
      </c>
      <c r="I41" s="444">
        <v>0</v>
      </c>
      <c r="J41" s="395">
        <f>K41+L41+M41</f>
        <v>234469.4</v>
      </c>
      <c r="K41" s="395"/>
      <c r="L41" s="150">
        <v>234469.4</v>
      </c>
      <c r="M41" s="150"/>
      <c r="N41" s="395">
        <f>P41</f>
        <v>234469.4</v>
      </c>
      <c r="O41" s="395"/>
      <c r="P41" s="395">
        <f>G41*L41</f>
        <v>234469.4</v>
      </c>
      <c r="Q41" s="395"/>
      <c r="R41" s="150"/>
      <c r="S41" s="396"/>
      <c r="T41" s="396">
        <f>H41*L41</f>
        <v>0</v>
      </c>
      <c r="U41" s="396">
        <f>I41*L41</f>
        <v>0</v>
      </c>
    </row>
    <row r="42" spans="1:31" ht="27.6" x14ac:dyDescent="0.25">
      <c r="A42" s="816"/>
      <c r="B42" s="408" t="s">
        <v>45</v>
      </c>
      <c r="C42" s="27" t="s">
        <v>44</v>
      </c>
      <c r="D42" s="19" t="s">
        <v>46</v>
      </c>
      <c r="E42" s="607">
        <f>14+3</f>
        <v>17</v>
      </c>
      <c r="F42" s="607">
        <f>14+3</f>
        <v>17</v>
      </c>
      <c r="G42" s="11">
        <v>17</v>
      </c>
      <c r="H42" s="444">
        <f>14+3</f>
        <v>17</v>
      </c>
      <c r="I42" s="444">
        <f>14+3</f>
        <v>17</v>
      </c>
      <c r="J42" s="395" t="s">
        <v>26</v>
      </c>
      <c r="K42" s="395" t="s">
        <v>26</v>
      </c>
      <c r="L42" s="150">
        <v>316440.09999999998</v>
      </c>
      <c r="M42" s="150"/>
      <c r="N42" s="395">
        <f>P42</f>
        <v>5379481.6999999993</v>
      </c>
      <c r="O42" s="395"/>
      <c r="P42" s="395">
        <f>G42*L42</f>
        <v>5379481.6999999993</v>
      </c>
      <c r="Q42" s="395"/>
      <c r="R42" s="150"/>
      <c r="S42" s="396"/>
      <c r="T42" s="396">
        <f>H42*L42</f>
        <v>5379481.6999999993</v>
      </c>
      <c r="U42" s="396">
        <f>I42*L42</f>
        <v>5379481.6999999993</v>
      </c>
    </row>
    <row r="43" spans="1:31" ht="13.95" hidden="1" customHeight="1" x14ac:dyDescent="0.25">
      <c r="A43" s="816"/>
      <c r="B43" s="407"/>
      <c r="C43" s="27"/>
      <c r="D43" s="19"/>
      <c r="E43" s="607"/>
      <c r="F43" s="607"/>
      <c r="G43" s="11"/>
      <c r="H43" s="444"/>
      <c r="I43" s="444"/>
      <c r="J43" s="395"/>
      <c r="K43" s="395"/>
      <c r="L43" s="395"/>
      <c r="M43" s="150"/>
      <c r="N43" s="395"/>
      <c r="O43" s="395"/>
      <c r="P43" s="395"/>
      <c r="Q43" s="395"/>
      <c r="R43" s="150"/>
      <c r="S43" s="396"/>
      <c r="T43" s="396">
        <f>Q43</f>
        <v>0</v>
      </c>
      <c r="U43" s="396">
        <f>T43</f>
        <v>0</v>
      </c>
    </row>
    <row r="44" spans="1:31" ht="13.95" hidden="1" customHeight="1" x14ac:dyDescent="0.25">
      <c r="A44" s="816"/>
      <c r="B44" s="407"/>
      <c r="C44" s="27"/>
      <c r="D44" s="19"/>
      <c r="E44" s="607"/>
      <c r="F44" s="607"/>
      <c r="G44" s="11"/>
      <c r="H44" s="415"/>
      <c r="I44" s="415"/>
      <c r="J44" s="395"/>
      <c r="K44" s="395"/>
      <c r="L44" s="395"/>
      <c r="M44" s="150"/>
      <c r="N44" s="395">
        <f>S44</f>
        <v>0</v>
      </c>
      <c r="O44" s="395"/>
      <c r="P44" s="395"/>
      <c r="Q44" s="395"/>
      <c r="R44" s="150"/>
      <c r="S44" s="396"/>
      <c r="T44" s="396"/>
      <c r="U44" s="396"/>
    </row>
    <row r="45" spans="1:31" ht="19.2" customHeight="1" x14ac:dyDescent="0.25">
      <c r="A45" s="816"/>
      <c r="B45" s="407" t="s">
        <v>47</v>
      </c>
      <c r="C45" s="27" t="s">
        <v>44</v>
      </c>
      <c r="D45" s="19"/>
      <c r="E45" s="607">
        <v>31</v>
      </c>
      <c r="F45" s="607">
        <v>31</v>
      </c>
      <c r="G45" s="11">
        <v>31</v>
      </c>
      <c r="H45" s="415">
        <v>31</v>
      </c>
      <c r="I45" s="415">
        <v>31</v>
      </c>
      <c r="J45" s="395"/>
      <c r="K45" s="395"/>
      <c r="L45" s="395"/>
      <c r="M45" s="150"/>
      <c r="N45" s="150">
        <f>SUM(O45:R45)</f>
        <v>7265160</v>
      </c>
      <c r="O45" s="449">
        <f>O20+O29+O36</f>
        <v>7265160</v>
      </c>
      <c r="P45" s="395"/>
      <c r="Q45" s="395"/>
      <c r="R45" s="150"/>
      <c r="S45" s="396"/>
      <c r="T45" s="340">
        <f>T20+T29+T36</f>
        <v>0</v>
      </c>
      <c r="U45" s="340">
        <f>U20+U29+U36</f>
        <v>0</v>
      </c>
    </row>
    <row r="46" spans="1:31" hidden="1" x14ac:dyDescent="0.25">
      <c r="A46" s="816"/>
      <c r="B46" s="407" t="s">
        <v>48</v>
      </c>
      <c r="C46" s="27" t="s">
        <v>44</v>
      </c>
      <c r="D46" s="19"/>
      <c r="E46" s="607"/>
      <c r="F46" s="607"/>
      <c r="G46" s="11"/>
      <c r="H46" s="444"/>
      <c r="I46" s="444"/>
      <c r="J46" s="395"/>
      <c r="K46" s="395"/>
      <c r="L46" s="395"/>
      <c r="M46" s="150"/>
      <c r="N46" s="395">
        <f>O46</f>
        <v>0</v>
      </c>
      <c r="O46" s="395"/>
      <c r="P46" s="395"/>
      <c r="Q46" s="395"/>
      <c r="R46" s="150"/>
      <c r="S46" s="396"/>
      <c r="T46" s="396">
        <f>O46</f>
        <v>0</v>
      </c>
      <c r="U46" s="396">
        <f>T46</f>
        <v>0</v>
      </c>
    </row>
    <row r="47" spans="1:31" hidden="1" x14ac:dyDescent="0.25">
      <c r="A47" s="816"/>
      <c r="B47" s="407" t="s">
        <v>49</v>
      </c>
      <c r="C47" s="27" t="s">
        <v>44</v>
      </c>
      <c r="D47" s="19"/>
      <c r="E47" s="607"/>
      <c r="F47" s="607"/>
      <c r="G47" s="11"/>
      <c r="H47" s="444"/>
      <c r="I47" s="444"/>
      <c r="J47" s="395"/>
      <c r="K47" s="395"/>
      <c r="L47" s="395"/>
      <c r="M47" s="150"/>
      <c r="N47" s="395">
        <f>P47</f>
        <v>0</v>
      </c>
      <c r="O47" s="395"/>
      <c r="P47" s="395"/>
      <c r="Q47" s="395"/>
      <c r="R47" s="150"/>
      <c r="S47" s="396"/>
      <c r="T47" s="396"/>
      <c r="U47" s="396">
        <f>T47</f>
        <v>0</v>
      </c>
    </row>
    <row r="48" spans="1:31" ht="19.2" customHeight="1" x14ac:dyDescent="0.25">
      <c r="A48" s="817"/>
      <c r="B48" s="406" t="s">
        <v>50</v>
      </c>
      <c r="C48" s="423"/>
      <c r="D48" s="409"/>
      <c r="E48" s="608">
        <f>E21+E30+E37</f>
        <v>772</v>
      </c>
      <c r="F48" s="703">
        <f>F21+F30+F37</f>
        <v>708</v>
      </c>
      <c r="G48" s="688">
        <f>G21+G30+G37</f>
        <v>715</v>
      </c>
      <c r="H48" s="760">
        <f>H21+H30+H37</f>
        <v>725</v>
      </c>
      <c r="I48" s="760">
        <f>I21+I30+I37</f>
        <v>720</v>
      </c>
      <c r="J48" s="413"/>
      <c r="K48" s="413"/>
      <c r="L48" s="413"/>
      <c r="M48" s="153"/>
      <c r="N48" s="413">
        <f>SUM(O48:S48)</f>
        <v>102170300.16999999</v>
      </c>
      <c r="O48" s="413">
        <f>O21+O30+O37+O40+O46</f>
        <v>66537503.069999985</v>
      </c>
      <c r="P48" s="413">
        <f>P21+P30+P37+P40+P41+P42+P43+P47</f>
        <v>14759037.050000001</v>
      </c>
      <c r="Q48" s="413">
        <f>Q21+Q30+Q37+Q40+Q41+Q42+Q43</f>
        <v>0</v>
      </c>
      <c r="R48" s="646">
        <f>R21+R30+R37+R40+R41+R42+R43+R44</f>
        <v>20873760.050000001</v>
      </c>
      <c r="S48" s="422">
        <f>S21+S30+S37+S40+S41+S42+S43+S44</f>
        <v>0</v>
      </c>
      <c r="T48" s="422">
        <f>T21+T30+T37+T40+T41+T42+T43+T44+T46+T47+0.01</f>
        <v>94030368.870000005</v>
      </c>
      <c r="U48" s="422">
        <f>U21+U30+U37+U40+U41+U42+U43+U44+U46+U47+0.01</f>
        <v>93548248.829999998</v>
      </c>
      <c r="X48" s="25"/>
      <c r="Y48" s="25"/>
      <c r="AB48" s="25"/>
    </row>
    <row r="49" spans="1:31" ht="75" customHeight="1" x14ac:dyDescent="0.25">
      <c r="A49" s="827" t="s">
        <v>51</v>
      </c>
      <c r="B49" s="818" t="s">
        <v>315</v>
      </c>
      <c r="C49" s="22" t="s">
        <v>23</v>
      </c>
      <c r="D49" s="400" t="s">
        <v>24</v>
      </c>
      <c r="E49" s="11">
        <v>232</v>
      </c>
      <c r="F49" s="682">
        <v>199</v>
      </c>
      <c r="G49" s="11">
        <f>166+33</f>
        <v>199</v>
      </c>
      <c r="H49" s="415">
        <f>200+45</f>
        <v>245</v>
      </c>
      <c r="I49" s="415">
        <f>200+45</f>
        <v>245</v>
      </c>
      <c r="J49" s="384">
        <f>SUM(K49:M49)</f>
        <v>81620.209999999992</v>
      </c>
      <c r="K49" s="14">
        <f>36390.31+2198.86</f>
        <v>38589.17</v>
      </c>
      <c r="L49" s="14">
        <v>13836.97</v>
      </c>
      <c r="M49" s="478">
        <v>29194.07</v>
      </c>
      <c r="N49" s="13">
        <f>SUM(O49:R49)</f>
        <v>19298484.689999998</v>
      </c>
      <c r="O49" s="13">
        <f>G49*K49</f>
        <v>7679244.8300000001</v>
      </c>
      <c r="P49" s="478">
        <f>G49*M49</f>
        <v>5809619.9299999997</v>
      </c>
      <c r="Q49" s="14"/>
      <c r="R49" s="150">
        <f>G49*M49</f>
        <v>5809619.9299999997</v>
      </c>
      <c r="S49" s="149"/>
      <c r="T49" s="149">
        <f>W49</f>
        <v>19996951.450000003</v>
      </c>
      <c r="U49" s="149">
        <f>AB49</f>
        <v>19996951.450000003</v>
      </c>
      <c r="W49" s="449">
        <f>SUM(X49:AA49)</f>
        <v>19996951.450000003</v>
      </c>
      <c r="X49" s="395">
        <f>H49*K49</f>
        <v>9454346.6500000004</v>
      </c>
      <c r="Y49" s="14">
        <f>H49*L49</f>
        <v>3390057.65</v>
      </c>
      <c r="Z49" s="395">
        <f>H49*M49</f>
        <v>7152547.1500000004</v>
      </c>
      <c r="AB49" s="449">
        <f>SUM(AC49:AF49)</f>
        <v>19996951.450000003</v>
      </c>
      <c r="AC49" s="395">
        <f>I49*K49</f>
        <v>9454346.6500000004</v>
      </c>
      <c r="AD49" s="14">
        <f>I49*L49</f>
        <v>3390057.65</v>
      </c>
      <c r="AE49" s="395">
        <f>I49*M49</f>
        <v>7152547.1500000004</v>
      </c>
    </row>
    <row r="50" spans="1:31" ht="82.8" x14ac:dyDescent="0.25">
      <c r="A50" s="828"/>
      <c r="B50" s="819"/>
      <c r="C50" s="405" t="s">
        <v>25</v>
      </c>
      <c r="D50" s="400" t="s">
        <v>24</v>
      </c>
      <c r="E50" s="10" t="s">
        <v>26</v>
      </c>
      <c r="F50" s="10" t="s">
        <v>26</v>
      </c>
      <c r="G50" s="11" t="s">
        <v>26</v>
      </c>
      <c r="H50" s="415" t="s">
        <v>26</v>
      </c>
      <c r="I50" s="415" t="s">
        <v>26</v>
      </c>
      <c r="J50" s="12" t="s">
        <v>26</v>
      </c>
      <c r="K50" s="12" t="s">
        <v>26</v>
      </c>
      <c r="L50" s="12" t="s">
        <v>26</v>
      </c>
      <c r="M50" s="415" t="s">
        <v>26</v>
      </c>
      <c r="N50" s="13"/>
      <c r="O50" s="13"/>
      <c r="P50" s="12" t="s">
        <v>26</v>
      </c>
      <c r="Q50" s="12"/>
      <c r="R50" s="415" t="s">
        <v>26</v>
      </c>
      <c r="S50" s="10"/>
      <c r="T50" s="149"/>
      <c r="U50" s="149"/>
    </row>
    <row r="51" spans="1:31" x14ac:dyDescent="0.25">
      <c r="A51" s="828"/>
      <c r="B51" s="819"/>
      <c r="C51" s="405" t="s">
        <v>27</v>
      </c>
      <c r="D51" s="400" t="s">
        <v>24</v>
      </c>
      <c r="E51" s="11">
        <v>1</v>
      </c>
      <c r="F51" s="682">
        <v>1</v>
      </c>
      <c r="G51" s="11">
        <v>1</v>
      </c>
      <c r="H51" s="415">
        <v>1</v>
      </c>
      <c r="I51" s="415">
        <v>1</v>
      </c>
      <c r="J51" s="150">
        <f t="shared" ref="J51:J58" si="15">K51</f>
        <v>148440.13</v>
      </c>
      <c r="K51" s="14">
        <v>148440.13</v>
      </c>
      <c r="L51" s="12" t="s">
        <v>26</v>
      </c>
      <c r="M51" s="415" t="s">
        <v>26</v>
      </c>
      <c r="N51" s="13">
        <f t="shared" ref="N51:N58" si="16">O51</f>
        <v>148440.13</v>
      </c>
      <c r="O51" s="13">
        <f>G51*K51</f>
        <v>148440.13</v>
      </c>
      <c r="P51" s="12" t="s">
        <v>26</v>
      </c>
      <c r="Q51" s="12"/>
      <c r="R51" s="415" t="s">
        <v>26</v>
      </c>
      <c r="S51" s="10"/>
      <c r="T51" s="149">
        <f t="shared" ref="T51:T58" si="17">H51*K51</f>
        <v>148440.13</v>
      </c>
      <c r="U51" s="149">
        <f t="shared" ref="U51:U58" si="18">I51*K51</f>
        <v>148440.13</v>
      </c>
    </row>
    <row r="52" spans="1:31" x14ac:dyDescent="0.25">
      <c r="A52" s="828"/>
      <c r="B52" s="819"/>
      <c r="C52" s="405" t="s">
        <v>28</v>
      </c>
      <c r="D52" s="400" t="s">
        <v>24</v>
      </c>
      <c r="E52" s="11">
        <v>15</v>
      </c>
      <c r="F52" s="682">
        <f>15-5</f>
        <v>10</v>
      </c>
      <c r="G52" s="11">
        <v>10</v>
      </c>
      <c r="H52" s="415">
        <f>20</f>
        <v>20</v>
      </c>
      <c r="I52" s="415">
        <f>20</f>
        <v>20</v>
      </c>
      <c r="J52" s="150">
        <f t="shared" si="15"/>
        <v>164394.18</v>
      </c>
      <c r="K52" s="14">
        <v>164394.18</v>
      </c>
      <c r="L52" s="12" t="s">
        <v>26</v>
      </c>
      <c r="M52" s="415" t="s">
        <v>26</v>
      </c>
      <c r="N52" s="13">
        <f t="shared" si="16"/>
        <v>1643941.7999999998</v>
      </c>
      <c r="O52" s="13">
        <f>G52*K52</f>
        <v>1643941.7999999998</v>
      </c>
      <c r="P52" s="12" t="s">
        <v>26</v>
      </c>
      <c r="Q52" s="12"/>
      <c r="R52" s="415" t="s">
        <v>26</v>
      </c>
      <c r="S52" s="10"/>
      <c r="T52" s="149">
        <f t="shared" si="17"/>
        <v>3287883.5999999996</v>
      </c>
      <c r="U52" s="149">
        <f t="shared" si="18"/>
        <v>3287883.5999999996</v>
      </c>
    </row>
    <row r="53" spans="1:31" x14ac:dyDescent="0.25">
      <c r="A53" s="828"/>
      <c r="B53" s="819"/>
      <c r="C53" s="405" t="s">
        <v>29</v>
      </c>
      <c r="D53" s="400" t="s">
        <v>24</v>
      </c>
      <c r="E53" s="11">
        <v>1</v>
      </c>
      <c r="F53" s="682">
        <v>1</v>
      </c>
      <c r="G53" s="11">
        <v>1</v>
      </c>
      <c r="H53" s="415">
        <v>1</v>
      </c>
      <c r="I53" s="415">
        <v>1</v>
      </c>
      <c r="J53" s="150">
        <f t="shared" si="15"/>
        <v>196302.28</v>
      </c>
      <c r="K53" s="14">
        <v>196302.28</v>
      </c>
      <c r="L53" s="12" t="s">
        <v>26</v>
      </c>
      <c r="M53" s="415" t="s">
        <v>26</v>
      </c>
      <c r="N53" s="13">
        <f t="shared" si="16"/>
        <v>196302.28</v>
      </c>
      <c r="O53" s="13">
        <f>G53*K53</f>
        <v>196302.28</v>
      </c>
      <c r="P53" s="12" t="s">
        <v>26</v>
      </c>
      <c r="Q53" s="12"/>
      <c r="R53" s="415" t="s">
        <v>26</v>
      </c>
      <c r="S53" s="10"/>
      <c r="T53" s="149">
        <f t="shared" si="17"/>
        <v>196302.28</v>
      </c>
      <c r="U53" s="149">
        <f t="shared" si="18"/>
        <v>196302.28</v>
      </c>
    </row>
    <row r="54" spans="1:31" x14ac:dyDescent="0.25">
      <c r="A54" s="828"/>
      <c r="B54" s="819"/>
      <c r="C54" s="405" t="s">
        <v>30</v>
      </c>
      <c r="D54" s="400" t="s">
        <v>24</v>
      </c>
      <c r="E54" s="11">
        <v>15</v>
      </c>
      <c r="F54" s="682">
        <f>15+2</f>
        <v>17</v>
      </c>
      <c r="G54" s="11">
        <f>17-4</f>
        <v>13</v>
      </c>
      <c r="H54" s="415">
        <v>15</v>
      </c>
      <c r="I54" s="415">
        <v>15</v>
      </c>
      <c r="J54" s="150">
        <f t="shared" si="15"/>
        <v>162574.21</v>
      </c>
      <c r="K54" s="150">
        <v>162574.21</v>
      </c>
      <c r="L54" s="12" t="s">
        <v>26</v>
      </c>
      <c r="M54" s="415" t="s">
        <v>26</v>
      </c>
      <c r="N54" s="13">
        <f>O54</f>
        <v>2113464.73</v>
      </c>
      <c r="O54" s="13">
        <f t="shared" ref="O54:O58" si="19">G54*K54</f>
        <v>2113464.73</v>
      </c>
      <c r="P54" s="12" t="s">
        <v>26</v>
      </c>
      <c r="Q54" s="12"/>
      <c r="R54" s="415" t="s">
        <v>26</v>
      </c>
      <c r="S54" s="10"/>
      <c r="T54" s="149">
        <f t="shared" si="17"/>
        <v>2438613.15</v>
      </c>
      <c r="U54" s="149">
        <f t="shared" si="18"/>
        <v>2438613.15</v>
      </c>
    </row>
    <row r="55" spans="1:31" x14ac:dyDescent="0.25">
      <c r="A55" s="828"/>
      <c r="B55" s="819"/>
      <c r="C55" s="405" t="s">
        <v>31</v>
      </c>
      <c r="D55" s="400" t="s">
        <v>24</v>
      </c>
      <c r="E55" s="11">
        <v>0</v>
      </c>
      <c r="F55" s="682">
        <v>1</v>
      </c>
      <c r="G55" s="11">
        <v>1</v>
      </c>
      <c r="H55" s="415">
        <v>0</v>
      </c>
      <c r="I55" s="415">
        <v>0</v>
      </c>
      <c r="J55" s="150">
        <f t="shared" si="15"/>
        <v>180348.22</v>
      </c>
      <c r="K55" s="150">
        <v>180348.22</v>
      </c>
      <c r="L55" s="12" t="s">
        <v>26</v>
      </c>
      <c r="M55" s="415" t="s">
        <v>26</v>
      </c>
      <c r="N55" s="13">
        <f t="shared" si="16"/>
        <v>180348.22</v>
      </c>
      <c r="O55" s="13">
        <f t="shared" si="19"/>
        <v>180348.22</v>
      </c>
      <c r="P55" s="12" t="s">
        <v>26</v>
      </c>
      <c r="Q55" s="12"/>
      <c r="R55" s="415" t="s">
        <v>26</v>
      </c>
      <c r="S55" s="10"/>
      <c r="T55" s="149">
        <f t="shared" si="17"/>
        <v>0</v>
      </c>
      <c r="U55" s="149">
        <f t="shared" si="18"/>
        <v>0</v>
      </c>
    </row>
    <row r="56" spans="1:31" x14ac:dyDescent="0.25">
      <c r="A56" s="828"/>
      <c r="B56" s="819"/>
      <c r="C56" s="405" t="s">
        <v>33</v>
      </c>
      <c r="D56" s="400" t="s">
        <v>24</v>
      </c>
      <c r="E56" s="11">
        <f>0</f>
        <v>0</v>
      </c>
      <c r="F56" s="682">
        <f>0</f>
        <v>0</v>
      </c>
      <c r="G56" s="11">
        <v>0</v>
      </c>
      <c r="H56" s="415">
        <f>0</f>
        <v>0</v>
      </c>
      <c r="I56" s="415">
        <f>0</f>
        <v>0</v>
      </c>
      <c r="J56" s="150">
        <f t="shared" si="15"/>
        <v>202178.64</v>
      </c>
      <c r="K56" s="150">
        <v>202178.64</v>
      </c>
      <c r="L56" s="12" t="s">
        <v>26</v>
      </c>
      <c r="M56" s="415" t="s">
        <v>26</v>
      </c>
      <c r="N56" s="13">
        <f t="shared" si="16"/>
        <v>0</v>
      </c>
      <c r="O56" s="13">
        <f t="shared" si="19"/>
        <v>0</v>
      </c>
      <c r="P56" s="12" t="s">
        <v>26</v>
      </c>
      <c r="Q56" s="12"/>
      <c r="R56" s="415" t="s">
        <v>26</v>
      </c>
      <c r="S56" s="10"/>
      <c r="T56" s="149">
        <f t="shared" si="17"/>
        <v>0</v>
      </c>
      <c r="U56" s="149">
        <f t="shared" si="18"/>
        <v>0</v>
      </c>
    </row>
    <row r="57" spans="1:31" x14ac:dyDescent="0.25">
      <c r="A57" s="828"/>
      <c r="B57" s="819"/>
      <c r="C57" s="405" t="s">
        <v>52</v>
      </c>
      <c r="D57" s="400" t="s">
        <v>24</v>
      </c>
      <c r="E57" s="11">
        <v>8</v>
      </c>
      <c r="F57" s="682">
        <f>8-1</f>
        <v>7</v>
      </c>
      <c r="G57" s="11">
        <v>7</v>
      </c>
      <c r="H57" s="415">
        <v>8</v>
      </c>
      <c r="I57" s="415">
        <v>8</v>
      </c>
      <c r="J57" s="150">
        <f t="shared" si="15"/>
        <v>343079.52</v>
      </c>
      <c r="K57" s="150">
        <v>343079.52</v>
      </c>
      <c r="L57" s="12" t="s">
        <v>26</v>
      </c>
      <c r="M57" s="415" t="s">
        <v>26</v>
      </c>
      <c r="N57" s="13">
        <f t="shared" si="16"/>
        <v>2401556.64</v>
      </c>
      <c r="O57" s="13">
        <f t="shared" si="19"/>
        <v>2401556.64</v>
      </c>
      <c r="P57" s="12"/>
      <c r="Q57" s="12"/>
      <c r="R57" s="415"/>
      <c r="S57" s="10"/>
      <c r="T57" s="149">
        <f t="shared" si="17"/>
        <v>2744636.16</v>
      </c>
      <c r="U57" s="149">
        <f t="shared" si="18"/>
        <v>2744636.16</v>
      </c>
    </row>
    <row r="58" spans="1:31" x14ac:dyDescent="0.25">
      <c r="A58" s="828"/>
      <c r="B58" s="819"/>
      <c r="C58" s="405" t="s">
        <v>34</v>
      </c>
      <c r="D58" s="400" t="s">
        <v>24</v>
      </c>
      <c r="E58" s="10"/>
      <c r="F58" s="10"/>
      <c r="G58" s="11"/>
      <c r="H58" s="415"/>
      <c r="I58" s="415"/>
      <c r="J58" s="150">
        <f t="shared" si="15"/>
        <v>146900.85999999999</v>
      </c>
      <c r="K58" s="150">
        <v>146900.85999999999</v>
      </c>
      <c r="L58" s="12" t="s">
        <v>26</v>
      </c>
      <c r="M58" s="415" t="s">
        <v>26</v>
      </c>
      <c r="N58" s="13">
        <f t="shared" si="16"/>
        <v>0</v>
      </c>
      <c r="O58" s="13">
        <f t="shared" si="19"/>
        <v>0</v>
      </c>
      <c r="P58" s="12" t="s">
        <v>26</v>
      </c>
      <c r="Q58" s="12"/>
      <c r="R58" s="415" t="s">
        <v>26</v>
      </c>
      <c r="S58" s="10"/>
      <c r="T58" s="149">
        <f t="shared" si="17"/>
        <v>0</v>
      </c>
      <c r="U58" s="149">
        <f t="shared" si="18"/>
        <v>0</v>
      </c>
    </row>
    <row r="59" spans="1:31" ht="82.95" customHeight="1" x14ac:dyDescent="0.25">
      <c r="A59" s="828"/>
      <c r="B59" s="819"/>
      <c r="C59" s="405" t="s">
        <v>35</v>
      </c>
      <c r="D59" s="19" t="s">
        <v>24</v>
      </c>
      <c r="E59" s="11">
        <v>2</v>
      </c>
      <c r="F59" s="682">
        <f>2+3</f>
        <v>5</v>
      </c>
      <c r="G59" s="11">
        <v>6</v>
      </c>
      <c r="H59" s="415">
        <v>3</v>
      </c>
      <c r="I59" s="415">
        <v>3</v>
      </c>
      <c r="J59" s="150">
        <f>SUM(K59:M59)</f>
        <v>490346.47</v>
      </c>
      <c r="K59" s="150">
        <f>445116.57+2198.86</f>
        <v>447315.43</v>
      </c>
      <c r="L59" s="14">
        <v>13836.97</v>
      </c>
      <c r="M59" s="478">
        <v>29194.07</v>
      </c>
      <c r="N59" s="13">
        <f>SUM(O59:R59)</f>
        <v>2942078.82</v>
      </c>
      <c r="O59" s="13">
        <f>G59*K59</f>
        <v>2683892.58</v>
      </c>
      <c r="P59" s="478">
        <f>G59*L59</f>
        <v>83021.819999999992</v>
      </c>
      <c r="Q59" s="13"/>
      <c r="R59" s="150">
        <f>G59*M59</f>
        <v>175164.41999999998</v>
      </c>
      <c r="S59" s="149"/>
      <c r="T59" s="149">
        <f>W59</f>
        <v>1471039.41</v>
      </c>
      <c r="U59" s="149">
        <f>AB59</f>
        <v>1471039.41</v>
      </c>
      <c r="W59" s="449">
        <f>SUM(X59:AA59)</f>
        <v>1471039.41</v>
      </c>
      <c r="X59" s="395">
        <f>H59*K59</f>
        <v>1341946.29</v>
      </c>
      <c r="Y59" s="14">
        <f>H59*L59</f>
        <v>41510.909999999996</v>
      </c>
      <c r="Z59" s="395">
        <f>H59*M59</f>
        <v>87582.209999999992</v>
      </c>
      <c r="AB59" s="449">
        <f>SUM(AC59:AF59)</f>
        <v>1471039.41</v>
      </c>
      <c r="AC59" s="395">
        <f>I59*K59</f>
        <v>1341946.29</v>
      </c>
      <c r="AD59" s="14">
        <f>I59*L59</f>
        <v>41510.909999999996</v>
      </c>
      <c r="AE59" s="395">
        <f>I59*M59</f>
        <v>87582.209999999992</v>
      </c>
    </row>
    <row r="60" spans="1:31" ht="19.5" customHeight="1" x14ac:dyDescent="0.25">
      <c r="A60" s="828"/>
      <c r="B60" s="819"/>
      <c r="C60" s="416" t="s">
        <v>36</v>
      </c>
      <c r="D60" s="400" t="s">
        <v>37</v>
      </c>
      <c r="E60" s="11">
        <v>11</v>
      </c>
      <c r="F60" s="11">
        <v>11</v>
      </c>
      <c r="G60" s="11">
        <v>11</v>
      </c>
      <c r="H60" s="415">
        <v>11</v>
      </c>
      <c r="I60" s="415">
        <v>11</v>
      </c>
      <c r="J60" s="150">
        <f>SUM(K60:M60)</f>
        <v>234360</v>
      </c>
      <c r="K60" s="150">
        <f>10000*1.5*1.302*12</f>
        <v>234360</v>
      </c>
      <c r="L60" s="384"/>
      <c r="M60" s="14"/>
      <c r="N60" s="14">
        <f>SUM(O60:R60)</f>
        <v>2577960</v>
      </c>
      <c r="O60" s="478">
        <f>G60*K60</f>
        <v>2577960</v>
      </c>
      <c r="P60" s="13"/>
      <c r="Q60" s="13"/>
      <c r="R60" s="150"/>
      <c r="S60" s="149"/>
      <c r="T60" s="149">
        <f>H60*K60-2577960</f>
        <v>0</v>
      </c>
      <c r="U60" s="149">
        <f>I60*K60-2577960</f>
        <v>0</v>
      </c>
    </row>
    <row r="61" spans="1:31" ht="24" customHeight="1" x14ac:dyDescent="0.25">
      <c r="A61" s="828"/>
      <c r="B61" s="820"/>
      <c r="C61" s="417" t="s">
        <v>38</v>
      </c>
      <c r="D61" s="400"/>
      <c r="E61" s="606">
        <f>E49+E59</f>
        <v>234</v>
      </c>
      <c r="F61" s="685">
        <f>F49+F59</f>
        <v>204</v>
      </c>
      <c r="G61" s="684">
        <f>G49+G59</f>
        <v>205</v>
      </c>
      <c r="H61" s="757">
        <f>H49+H59</f>
        <v>248</v>
      </c>
      <c r="I61" s="757">
        <f>I49+I59</f>
        <v>248</v>
      </c>
      <c r="J61" s="14" t="s">
        <v>26</v>
      </c>
      <c r="K61" s="13" t="s">
        <v>26</v>
      </c>
      <c r="L61" s="13" t="s">
        <v>26</v>
      </c>
      <c r="M61" s="14" t="s">
        <v>26</v>
      </c>
      <c r="N61" s="418">
        <f>SUM(N49:N60)</f>
        <v>31502577.309999999</v>
      </c>
      <c r="O61" s="418">
        <f t="shared" ref="O61:U61" si="20">SUM(O49:O60)</f>
        <v>19625151.210000001</v>
      </c>
      <c r="P61" s="418">
        <f t="shared" si="20"/>
        <v>5892641.75</v>
      </c>
      <c r="Q61" s="418">
        <f t="shared" si="20"/>
        <v>0</v>
      </c>
      <c r="R61" s="775">
        <f>SUM(R49:R60)</f>
        <v>5984784.3499999996</v>
      </c>
      <c r="S61" s="418">
        <f t="shared" si="20"/>
        <v>0</v>
      </c>
      <c r="T61" s="418">
        <f t="shared" si="20"/>
        <v>30283866.18</v>
      </c>
      <c r="U61" s="418">
        <f t="shared" si="20"/>
        <v>30283866.18</v>
      </c>
    </row>
    <row r="62" spans="1:31" ht="76.95" customHeight="1" x14ac:dyDescent="0.25">
      <c r="A62" s="828"/>
      <c r="B62" s="818" t="s">
        <v>314</v>
      </c>
      <c r="C62" s="22" t="s">
        <v>23</v>
      </c>
      <c r="D62" s="19" t="s">
        <v>24</v>
      </c>
      <c r="E62" s="698">
        <f>209+1</f>
        <v>210</v>
      </c>
      <c r="F62" s="682">
        <v>192</v>
      </c>
      <c r="G62" s="11">
        <f>183+6</f>
        <v>189</v>
      </c>
      <c r="H62" s="415">
        <f>280+7</f>
        <v>287</v>
      </c>
      <c r="I62" s="415">
        <f>280+7</f>
        <v>287</v>
      </c>
      <c r="J62" s="14">
        <f>SUM(K62:M62)</f>
        <v>99926.93</v>
      </c>
      <c r="K62" s="14">
        <f>54145.32+2750.57</f>
        <v>56895.89</v>
      </c>
      <c r="L62" s="14">
        <v>13836.97</v>
      </c>
      <c r="M62" s="478">
        <v>29194.07</v>
      </c>
      <c r="N62" s="427">
        <f>SUM(O62:R62)</f>
        <v>18886189.77</v>
      </c>
      <c r="O62" s="427">
        <f>G62*K62</f>
        <v>10753323.209999999</v>
      </c>
      <c r="P62" s="478">
        <f>G62*L62</f>
        <v>2615187.33</v>
      </c>
      <c r="Q62" s="427"/>
      <c r="R62" s="150">
        <f>G62*M62</f>
        <v>5517679.2299999995</v>
      </c>
      <c r="S62" s="149"/>
      <c r="T62" s="149">
        <f>W62</f>
        <v>28679028.91</v>
      </c>
      <c r="U62" s="149">
        <f>T62</f>
        <v>28679028.91</v>
      </c>
      <c r="W62" s="449">
        <f>SUM(X62:AA62)</f>
        <v>28679028.91</v>
      </c>
      <c r="X62" s="395">
        <f>H62*K62</f>
        <v>16329120.43</v>
      </c>
      <c r="Y62" s="14">
        <f>H62*L62</f>
        <v>3971210.3899999997</v>
      </c>
      <c r="Z62" s="395">
        <f>H62*M62</f>
        <v>8378698.0899999999</v>
      </c>
      <c r="AB62" s="449">
        <f>SUM(AC62:AF62)</f>
        <v>28679028.91</v>
      </c>
      <c r="AC62" s="395">
        <f>I62*K62</f>
        <v>16329120.43</v>
      </c>
      <c r="AD62" s="14">
        <f>I62*L62</f>
        <v>3971210.3899999997</v>
      </c>
      <c r="AE62" s="395">
        <f>I62*M62</f>
        <v>8378698.0899999999</v>
      </c>
    </row>
    <row r="63" spans="1:31" ht="94.95" customHeight="1" x14ac:dyDescent="0.25">
      <c r="A63" s="828"/>
      <c r="B63" s="819"/>
      <c r="C63" s="22" t="s">
        <v>63</v>
      </c>
      <c r="D63" s="19" t="s">
        <v>24</v>
      </c>
      <c r="E63" s="705">
        <f>44-1</f>
        <v>43</v>
      </c>
      <c r="F63" s="690">
        <v>94</v>
      </c>
      <c r="G63" s="748">
        <v>93</v>
      </c>
      <c r="H63" s="748">
        <v>89</v>
      </c>
      <c r="I63" s="748">
        <v>130</v>
      </c>
      <c r="J63" s="14">
        <f>SUM(K63:M63)</f>
        <v>105910.23000000001</v>
      </c>
      <c r="K63" s="14">
        <f>60128.62+2750.57</f>
        <v>62879.19</v>
      </c>
      <c r="L63" s="14">
        <v>13836.97</v>
      </c>
      <c r="M63" s="478">
        <v>29194.07</v>
      </c>
      <c r="N63" s="562">
        <f>SUM(O63:R63)</f>
        <v>9849651.3900000006</v>
      </c>
      <c r="O63" s="562">
        <f>G63*K63</f>
        <v>5847764.6699999999</v>
      </c>
      <c r="P63" s="14">
        <f>G63*L63</f>
        <v>1286838.21</v>
      </c>
      <c r="Q63" s="562"/>
      <c r="R63" s="150">
        <f>G63*M63</f>
        <v>2715048.51</v>
      </c>
      <c r="S63" s="149"/>
      <c r="T63" s="149">
        <f>W63</f>
        <v>9426010.4700000007</v>
      </c>
      <c r="U63" s="149">
        <f>AB63</f>
        <v>13768329.9</v>
      </c>
      <c r="W63" s="449">
        <f>SUM(X63:AA63)</f>
        <v>9426010.4700000007</v>
      </c>
      <c r="X63" s="395">
        <f>H63*K63</f>
        <v>5596247.9100000001</v>
      </c>
      <c r="Y63" s="14">
        <f>H63*L63</f>
        <v>1231490.3299999998</v>
      </c>
      <c r="Z63" s="395">
        <f>H63*M63</f>
        <v>2598272.23</v>
      </c>
      <c r="AB63" s="449">
        <f>SUM(AC63:AF63)</f>
        <v>13768329.9</v>
      </c>
      <c r="AC63" s="395">
        <f>I63*K63</f>
        <v>8174294.7000000002</v>
      </c>
      <c r="AD63" s="14">
        <f>I63*L63</f>
        <v>1798806.0999999999</v>
      </c>
      <c r="AE63" s="395">
        <f>I63*M63</f>
        <v>3795229.1</v>
      </c>
    </row>
    <row r="64" spans="1:31" ht="82.8" x14ac:dyDescent="0.25">
      <c r="A64" s="828"/>
      <c r="B64" s="819"/>
      <c r="C64" s="405" t="s">
        <v>39</v>
      </c>
      <c r="D64" s="19" t="s">
        <v>24</v>
      </c>
      <c r="E64" s="11" t="s">
        <v>26</v>
      </c>
      <c r="F64" s="11" t="s">
        <v>26</v>
      </c>
      <c r="G64" s="11" t="s">
        <v>26</v>
      </c>
      <c r="H64" s="415" t="s">
        <v>26</v>
      </c>
      <c r="I64" s="415" t="s">
        <v>26</v>
      </c>
      <c r="J64" s="426" t="s">
        <v>26</v>
      </c>
      <c r="K64" s="426"/>
      <c r="L64" s="426" t="s">
        <v>26</v>
      </c>
      <c r="M64" s="415" t="s">
        <v>26</v>
      </c>
      <c r="N64" s="427"/>
      <c r="O64" s="427"/>
      <c r="P64" s="426" t="s">
        <v>26</v>
      </c>
      <c r="Q64" s="426"/>
      <c r="R64" s="415" t="s">
        <v>26</v>
      </c>
      <c r="S64" s="10"/>
      <c r="T64" s="149"/>
      <c r="U64" s="149"/>
    </row>
    <row r="65" spans="1:31" x14ac:dyDescent="0.25">
      <c r="A65" s="828"/>
      <c r="B65" s="819"/>
      <c r="C65" s="385" t="s">
        <v>29</v>
      </c>
      <c r="D65" s="19" t="s">
        <v>24</v>
      </c>
      <c r="E65" s="11">
        <v>1</v>
      </c>
      <c r="F65" s="682">
        <f>1-1</f>
        <v>0</v>
      </c>
      <c r="G65" s="11">
        <v>0</v>
      </c>
      <c r="H65" s="415">
        <v>0</v>
      </c>
      <c r="I65" s="415">
        <v>0</v>
      </c>
      <c r="J65" s="150">
        <f t="shared" ref="J65:J70" si="21">K65</f>
        <v>119806.54</v>
      </c>
      <c r="K65" s="14">
        <v>119806.54</v>
      </c>
      <c r="L65" s="426" t="s">
        <v>26</v>
      </c>
      <c r="M65" s="415" t="s">
        <v>26</v>
      </c>
      <c r="N65" s="427">
        <f t="shared" ref="N65:N70" si="22">O65</f>
        <v>0</v>
      </c>
      <c r="O65" s="427">
        <f>G65*K65</f>
        <v>0</v>
      </c>
      <c r="P65" s="426"/>
      <c r="Q65" s="426"/>
      <c r="R65" s="415"/>
      <c r="S65" s="10"/>
      <c r="T65" s="149">
        <f t="shared" ref="T65:T70" si="23">H65*K65</f>
        <v>0</v>
      </c>
      <c r="U65" s="149">
        <f t="shared" ref="U65:U70" si="24">I65*K65</f>
        <v>0</v>
      </c>
    </row>
    <row r="66" spans="1:31" x14ac:dyDescent="0.25">
      <c r="A66" s="828"/>
      <c r="B66" s="819"/>
      <c r="C66" s="385" t="s">
        <v>31</v>
      </c>
      <c r="D66" s="19" t="s">
        <v>24</v>
      </c>
      <c r="E66" s="11">
        <v>1</v>
      </c>
      <c r="F66" s="682">
        <f>1-1</f>
        <v>0</v>
      </c>
      <c r="G66" s="11">
        <f>1-1</f>
        <v>0</v>
      </c>
      <c r="H66" s="415">
        <v>1</v>
      </c>
      <c r="I66" s="415">
        <v>1</v>
      </c>
      <c r="J66" s="150">
        <f t="shared" si="21"/>
        <v>310708.38</v>
      </c>
      <c r="K66" s="14">
        <v>310708.38</v>
      </c>
      <c r="L66" s="426" t="s">
        <v>26</v>
      </c>
      <c r="M66" s="415" t="s">
        <v>26</v>
      </c>
      <c r="N66" s="427">
        <f t="shared" si="22"/>
        <v>0</v>
      </c>
      <c r="O66" s="427">
        <f t="shared" ref="O66:O70" si="25">G66*K66</f>
        <v>0</v>
      </c>
      <c r="P66" s="426"/>
      <c r="Q66" s="426"/>
      <c r="R66" s="415"/>
      <c r="S66" s="10"/>
      <c r="T66" s="149">
        <f t="shared" si="23"/>
        <v>310708.38</v>
      </c>
      <c r="U66" s="149">
        <f t="shared" si="24"/>
        <v>310708.38</v>
      </c>
    </row>
    <row r="67" spans="1:31" x14ac:dyDescent="0.25">
      <c r="A67" s="828"/>
      <c r="B67" s="819"/>
      <c r="C67" s="385" t="s">
        <v>32</v>
      </c>
      <c r="D67" s="19" t="s">
        <v>24</v>
      </c>
      <c r="E67" s="607"/>
      <c r="F67" s="607"/>
      <c r="G67" s="11">
        <v>0</v>
      </c>
      <c r="H67" s="444">
        <v>0</v>
      </c>
      <c r="I67" s="444">
        <v>0</v>
      </c>
      <c r="J67" s="150">
        <f t="shared" si="21"/>
        <v>223221.7</v>
      </c>
      <c r="K67" s="150">
        <v>223221.7</v>
      </c>
      <c r="L67" s="426" t="s">
        <v>26</v>
      </c>
      <c r="M67" s="415" t="s">
        <v>26</v>
      </c>
      <c r="N67" s="427">
        <f t="shared" si="22"/>
        <v>0</v>
      </c>
      <c r="O67" s="427">
        <f t="shared" si="25"/>
        <v>0</v>
      </c>
      <c r="P67" s="426" t="s">
        <v>26</v>
      </c>
      <c r="Q67" s="426"/>
      <c r="R67" s="415" t="s">
        <v>26</v>
      </c>
      <c r="S67" s="10"/>
      <c r="T67" s="149">
        <f t="shared" si="23"/>
        <v>0</v>
      </c>
      <c r="U67" s="149">
        <f t="shared" si="24"/>
        <v>0</v>
      </c>
    </row>
    <row r="68" spans="1:31" x14ac:dyDescent="0.25">
      <c r="A68" s="828"/>
      <c r="B68" s="819"/>
      <c r="C68" s="385" t="s">
        <v>33</v>
      </c>
      <c r="D68" s="19" t="s">
        <v>24</v>
      </c>
      <c r="E68" s="607">
        <v>2</v>
      </c>
      <c r="F68" s="686">
        <v>2</v>
      </c>
      <c r="G68" s="11">
        <v>2</v>
      </c>
      <c r="H68" s="444">
        <v>2</v>
      </c>
      <c r="I68" s="444">
        <v>2</v>
      </c>
      <c r="J68" s="150">
        <f t="shared" si="21"/>
        <v>26113.16</v>
      </c>
      <c r="K68" s="150">
        <v>26113.16</v>
      </c>
      <c r="L68" s="426" t="s">
        <v>26</v>
      </c>
      <c r="M68" s="415" t="s">
        <v>26</v>
      </c>
      <c r="N68" s="427">
        <f t="shared" si="22"/>
        <v>52226.32</v>
      </c>
      <c r="O68" s="427">
        <f t="shared" si="25"/>
        <v>52226.32</v>
      </c>
      <c r="P68" s="426" t="s">
        <v>26</v>
      </c>
      <c r="Q68" s="426"/>
      <c r="R68" s="415" t="s">
        <v>26</v>
      </c>
      <c r="S68" s="10"/>
      <c r="T68" s="149">
        <f t="shared" si="23"/>
        <v>52226.32</v>
      </c>
      <c r="U68" s="149">
        <f t="shared" si="24"/>
        <v>52226.32</v>
      </c>
    </row>
    <row r="69" spans="1:31" x14ac:dyDescent="0.25">
      <c r="A69" s="828"/>
      <c r="B69" s="819"/>
      <c r="C69" s="713" t="s">
        <v>52</v>
      </c>
      <c r="D69" s="19" t="s">
        <v>24</v>
      </c>
      <c r="E69" s="607">
        <v>3</v>
      </c>
      <c r="F69" s="686">
        <v>3</v>
      </c>
      <c r="G69" s="11">
        <v>3</v>
      </c>
      <c r="H69" s="444">
        <v>3</v>
      </c>
      <c r="I69" s="444">
        <v>3</v>
      </c>
      <c r="J69" s="150">
        <f t="shared" si="21"/>
        <v>425676.93</v>
      </c>
      <c r="K69" s="150">
        <v>425676.93</v>
      </c>
      <c r="L69" s="708"/>
      <c r="M69" s="415"/>
      <c r="N69" s="780">
        <f t="shared" si="22"/>
        <v>1277030.79</v>
      </c>
      <c r="O69" s="780">
        <f t="shared" si="25"/>
        <v>1277030.79</v>
      </c>
      <c r="P69" s="708"/>
      <c r="Q69" s="708"/>
      <c r="R69" s="415"/>
      <c r="S69" s="10"/>
      <c r="T69" s="149">
        <f t="shared" si="23"/>
        <v>1277030.79</v>
      </c>
      <c r="U69" s="149">
        <f t="shared" si="24"/>
        <v>1277030.79</v>
      </c>
    </row>
    <row r="70" spans="1:31" x14ac:dyDescent="0.25">
      <c r="A70" s="828"/>
      <c r="B70" s="819"/>
      <c r="C70" s="385" t="s">
        <v>34</v>
      </c>
      <c r="D70" s="19" t="s">
        <v>24</v>
      </c>
      <c r="E70" s="607">
        <f>2-1</f>
        <v>1</v>
      </c>
      <c r="F70" s="686">
        <f>2+2-3</f>
        <v>1</v>
      </c>
      <c r="G70" s="11">
        <v>1</v>
      </c>
      <c r="H70" s="444">
        <v>1</v>
      </c>
      <c r="I70" s="444">
        <v>1</v>
      </c>
      <c r="J70" s="150">
        <f t="shared" si="21"/>
        <v>18697.54</v>
      </c>
      <c r="K70" s="150">
        <v>18697.54</v>
      </c>
      <c r="L70" s="426" t="s">
        <v>26</v>
      </c>
      <c r="M70" s="415" t="s">
        <v>26</v>
      </c>
      <c r="N70" s="427">
        <f t="shared" si="22"/>
        <v>18697.54</v>
      </c>
      <c r="O70" s="427">
        <f t="shared" si="25"/>
        <v>18697.54</v>
      </c>
      <c r="P70" s="426" t="s">
        <v>26</v>
      </c>
      <c r="Q70" s="426"/>
      <c r="R70" s="415" t="s">
        <v>26</v>
      </c>
      <c r="S70" s="10"/>
      <c r="T70" s="149">
        <f t="shared" si="23"/>
        <v>18697.54</v>
      </c>
      <c r="U70" s="149">
        <f t="shared" si="24"/>
        <v>18697.54</v>
      </c>
    </row>
    <row r="71" spans="1:31" ht="82.95" customHeight="1" x14ac:dyDescent="0.25">
      <c r="A71" s="828"/>
      <c r="B71" s="820"/>
      <c r="C71" s="605" t="s">
        <v>35</v>
      </c>
      <c r="D71" s="19" t="s">
        <v>24</v>
      </c>
      <c r="E71" s="696">
        <f>3-1</f>
        <v>2</v>
      </c>
      <c r="F71" s="686">
        <f>3+2</f>
        <v>5</v>
      </c>
      <c r="G71" s="11">
        <v>6</v>
      </c>
      <c r="H71" s="444">
        <v>1</v>
      </c>
      <c r="I71" s="444">
        <v>1</v>
      </c>
      <c r="J71" s="150">
        <f>SUM(K71:M71)</f>
        <v>547511.42999999993</v>
      </c>
      <c r="K71" s="150">
        <f>501729.82+2750.57</f>
        <v>504480.39</v>
      </c>
      <c r="L71" s="14">
        <v>13836.97</v>
      </c>
      <c r="M71" s="478">
        <v>29194.07</v>
      </c>
      <c r="N71" s="427">
        <f>SUM(O71:R71)</f>
        <v>3285068.5799999996</v>
      </c>
      <c r="O71" s="427">
        <f>G71*K71</f>
        <v>3026882.34</v>
      </c>
      <c r="P71" s="478">
        <f>G71*L71</f>
        <v>83021.819999999992</v>
      </c>
      <c r="Q71" s="395"/>
      <c r="R71" s="150">
        <f>G71*M71</f>
        <v>175164.41999999998</v>
      </c>
      <c r="S71" s="149"/>
      <c r="T71" s="149">
        <f>W71</f>
        <v>547511.42999999993</v>
      </c>
      <c r="U71" s="149">
        <f>AB71</f>
        <v>547511.42999999993</v>
      </c>
      <c r="W71" s="449">
        <f>SUM(X71:AA71)</f>
        <v>547511.42999999993</v>
      </c>
      <c r="X71" s="395">
        <f>H71*K71</f>
        <v>504480.39</v>
      </c>
      <c r="Y71" s="14">
        <f>H71*L71</f>
        <v>13836.97</v>
      </c>
      <c r="Z71" s="395">
        <f>H71*M71</f>
        <v>29194.07</v>
      </c>
      <c r="AB71" s="449">
        <f>SUM(AC71:AF71)</f>
        <v>547511.42999999993</v>
      </c>
      <c r="AC71" s="395">
        <f>I71*K71</f>
        <v>504480.39</v>
      </c>
      <c r="AD71" s="14">
        <f>I71*L71</f>
        <v>13836.97</v>
      </c>
      <c r="AE71" s="395">
        <f>I71*M71</f>
        <v>29194.07</v>
      </c>
    </row>
    <row r="72" spans="1:31" ht="17.399999999999999" customHeight="1" x14ac:dyDescent="0.25">
      <c r="A72" s="828"/>
      <c r="B72" s="402"/>
      <c r="C72" s="386" t="s">
        <v>36</v>
      </c>
      <c r="D72" s="19" t="s">
        <v>37</v>
      </c>
      <c r="E72" s="607">
        <v>12</v>
      </c>
      <c r="F72" s="607">
        <v>12</v>
      </c>
      <c r="G72" s="11">
        <v>12</v>
      </c>
      <c r="H72" s="444">
        <v>12</v>
      </c>
      <c r="I72" s="444">
        <v>12</v>
      </c>
      <c r="J72" s="150">
        <f>SUM(K72:M72)</f>
        <v>234360</v>
      </c>
      <c r="K72" s="150">
        <f>10000*1.5*1.302*12</f>
        <v>234360</v>
      </c>
      <c r="L72" s="384"/>
      <c r="M72" s="14"/>
      <c r="N72" s="14">
        <f>SUM(O72:R72)</f>
        <v>2812360</v>
      </c>
      <c r="O72" s="651">
        <f>G72*K72+40</f>
        <v>2812360</v>
      </c>
      <c r="P72" s="427"/>
      <c r="Q72" s="395"/>
      <c r="R72" s="150"/>
      <c r="S72" s="149"/>
      <c r="T72" s="149">
        <f>H72*K72-2812320</f>
        <v>0</v>
      </c>
      <c r="U72" s="149">
        <f>I72*K72-2812320</f>
        <v>0</v>
      </c>
    </row>
    <row r="73" spans="1:31" ht="24" customHeight="1" x14ac:dyDescent="0.25">
      <c r="A73" s="828"/>
      <c r="B73" s="402"/>
      <c r="C73" s="401" t="s">
        <v>38</v>
      </c>
      <c r="D73" s="19"/>
      <c r="E73" s="608">
        <f>E62+E63+E71</f>
        <v>255</v>
      </c>
      <c r="F73" s="695">
        <f>F62+F63+F71</f>
        <v>291</v>
      </c>
      <c r="G73" s="608">
        <f>G62+G63+G71</f>
        <v>288</v>
      </c>
      <c r="H73" s="608">
        <f>H62+H63+H71</f>
        <v>377</v>
      </c>
      <c r="I73" s="608">
        <f>I62+I63+I71</f>
        <v>418</v>
      </c>
      <c r="J73" s="395" t="s">
        <v>26</v>
      </c>
      <c r="K73" s="395" t="s">
        <v>26</v>
      </c>
      <c r="L73" s="395" t="s">
        <v>26</v>
      </c>
      <c r="M73" s="150" t="s">
        <v>26</v>
      </c>
      <c r="N73" s="413">
        <f>SUM(N62:N72)</f>
        <v>36181224.390000001</v>
      </c>
      <c r="O73" s="413">
        <f t="shared" ref="O73:U73" si="26">SUM(O62:O72)</f>
        <v>23788284.869999997</v>
      </c>
      <c r="P73" s="413">
        <f t="shared" si="26"/>
        <v>3985047.36</v>
      </c>
      <c r="Q73" s="413">
        <f t="shared" si="26"/>
        <v>0</v>
      </c>
      <c r="R73" s="646">
        <f>SUM(R62:R72)</f>
        <v>8407892.1600000001</v>
      </c>
      <c r="S73" s="413">
        <f t="shared" si="26"/>
        <v>0</v>
      </c>
      <c r="T73" s="413">
        <f t="shared" si="26"/>
        <v>40311213.840000004</v>
      </c>
      <c r="U73" s="413">
        <f t="shared" si="26"/>
        <v>44653533.270000003</v>
      </c>
    </row>
    <row r="74" spans="1:31" ht="69" x14ac:dyDescent="0.25">
      <c r="A74" s="828"/>
      <c r="B74" s="818" t="s">
        <v>313</v>
      </c>
      <c r="C74" s="22" t="s">
        <v>23</v>
      </c>
      <c r="D74" s="19" t="s">
        <v>24</v>
      </c>
      <c r="E74" s="607">
        <v>37</v>
      </c>
      <c r="F74" s="686">
        <v>38</v>
      </c>
      <c r="G74" s="11">
        <v>38</v>
      </c>
      <c r="H74" s="444">
        <v>41</v>
      </c>
      <c r="I74" s="444">
        <v>41</v>
      </c>
      <c r="J74" s="384">
        <f>SUM(K74:M74)</f>
        <v>115902.54999999999</v>
      </c>
      <c r="K74" s="14">
        <f>70145.11+2726.4</f>
        <v>72871.509999999995</v>
      </c>
      <c r="L74" s="14">
        <v>13836.97</v>
      </c>
      <c r="M74" s="478">
        <v>29194.07</v>
      </c>
      <c r="N74" s="150">
        <f>SUM(O74:R74)</f>
        <v>4404296.8999999994</v>
      </c>
      <c r="O74" s="395">
        <f>G74*K74</f>
        <v>2769117.38</v>
      </c>
      <c r="P74" s="478">
        <f>G74*L74</f>
        <v>525804.86</v>
      </c>
      <c r="Q74" s="395"/>
      <c r="R74" s="150">
        <f>G74*M74</f>
        <v>1109374.6599999999</v>
      </c>
      <c r="S74" s="149"/>
      <c r="T74" s="149">
        <f>W74</f>
        <v>4752004.55</v>
      </c>
      <c r="U74" s="149">
        <f>AB74</f>
        <v>4752004.55</v>
      </c>
      <c r="W74" s="449">
        <f>SUM(X74:AA74)</f>
        <v>4752004.55</v>
      </c>
      <c r="X74" s="395">
        <f>H74*K74</f>
        <v>2987731.9099999997</v>
      </c>
      <c r="Y74" s="14">
        <f>H74*L74</f>
        <v>567315.77</v>
      </c>
      <c r="Z74" s="395">
        <f>H74*M74</f>
        <v>1196956.8699999999</v>
      </c>
      <c r="AB74" s="449">
        <f>SUM(AC74:AF74)</f>
        <v>4752004.55</v>
      </c>
      <c r="AC74" s="395">
        <f>I74*K74</f>
        <v>2987731.9099999997</v>
      </c>
      <c r="AD74" s="14">
        <f>I74*L74</f>
        <v>567315.77</v>
      </c>
      <c r="AE74" s="395">
        <f>I74*M74</f>
        <v>1196956.8699999999</v>
      </c>
    </row>
    <row r="75" spans="1:31" ht="82.8" x14ac:dyDescent="0.25">
      <c r="A75" s="828"/>
      <c r="B75" s="819"/>
      <c r="C75" s="405" t="s">
        <v>39</v>
      </c>
      <c r="D75" s="19" t="s">
        <v>24</v>
      </c>
      <c r="E75" s="10" t="s">
        <v>26</v>
      </c>
      <c r="F75" s="10" t="s">
        <v>26</v>
      </c>
      <c r="G75" s="11" t="s">
        <v>26</v>
      </c>
      <c r="H75" s="415" t="s">
        <v>26</v>
      </c>
      <c r="I75" s="415" t="s">
        <v>26</v>
      </c>
      <c r="J75" s="426" t="s">
        <v>26</v>
      </c>
      <c r="K75" s="426" t="s">
        <v>26</v>
      </c>
      <c r="L75" s="426" t="s">
        <v>26</v>
      </c>
      <c r="M75" s="415" t="s">
        <v>26</v>
      </c>
      <c r="N75" s="427"/>
      <c r="O75" s="427"/>
      <c r="P75" s="426" t="s">
        <v>26</v>
      </c>
      <c r="Q75" s="426"/>
      <c r="R75" s="415" t="s">
        <v>26</v>
      </c>
      <c r="S75" s="10"/>
      <c r="T75" s="149"/>
      <c r="U75" s="149"/>
    </row>
    <row r="76" spans="1:31" x14ac:dyDescent="0.25">
      <c r="A76" s="828"/>
      <c r="B76" s="819"/>
      <c r="C76" s="405" t="s">
        <v>34</v>
      </c>
      <c r="D76" s="19" t="s">
        <v>24</v>
      </c>
      <c r="E76" s="411"/>
      <c r="F76" s="411"/>
      <c r="G76" s="11">
        <v>0</v>
      </c>
      <c r="H76" s="444"/>
      <c r="I76" s="444"/>
      <c r="J76" s="150">
        <f>K76</f>
        <v>19898.91</v>
      </c>
      <c r="K76" s="150">
        <v>19898.91</v>
      </c>
      <c r="L76" s="426" t="s">
        <v>26</v>
      </c>
      <c r="M76" s="415" t="s">
        <v>26</v>
      </c>
      <c r="N76" s="427">
        <f>O76</f>
        <v>0</v>
      </c>
      <c r="O76" s="427">
        <f>G76*K76</f>
        <v>0</v>
      </c>
      <c r="P76" s="426" t="s">
        <v>26</v>
      </c>
      <c r="Q76" s="426"/>
      <c r="R76" s="415" t="s">
        <v>26</v>
      </c>
      <c r="S76" s="10"/>
      <c r="T76" s="149">
        <f>H76*K76</f>
        <v>0</v>
      </c>
      <c r="U76" s="149">
        <f>I76*K76</f>
        <v>0</v>
      </c>
    </row>
    <row r="77" spans="1:31" ht="82.95" customHeight="1" x14ac:dyDescent="0.25">
      <c r="A77" s="828"/>
      <c r="B77" s="820"/>
      <c r="C77" s="405" t="s">
        <v>35</v>
      </c>
      <c r="D77" s="19" t="s">
        <v>24</v>
      </c>
      <c r="E77" s="607">
        <v>0</v>
      </c>
      <c r="F77" s="686">
        <v>0</v>
      </c>
      <c r="G77" s="11">
        <v>0</v>
      </c>
      <c r="H77" s="444">
        <v>1</v>
      </c>
      <c r="I77" s="444">
        <v>1</v>
      </c>
      <c r="J77" s="395">
        <f>K77</f>
        <v>559857.20000000007</v>
      </c>
      <c r="K77" s="150">
        <f>557130.8+2726.4</f>
        <v>559857.20000000007</v>
      </c>
      <c r="L77" s="14">
        <v>13836.97</v>
      </c>
      <c r="M77" s="478">
        <v>29194.07</v>
      </c>
      <c r="N77" s="427">
        <f>SUM(O77:R77)</f>
        <v>0</v>
      </c>
      <c r="O77" s="395">
        <f>G77*K77</f>
        <v>0</v>
      </c>
      <c r="P77" s="395">
        <f>G77*L77</f>
        <v>0</v>
      </c>
      <c r="Q77" s="395"/>
      <c r="R77" s="150">
        <f>G77*M77</f>
        <v>0</v>
      </c>
      <c r="S77" s="149"/>
      <c r="T77" s="149">
        <f>W77</f>
        <v>602888.24</v>
      </c>
      <c r="U77" s="149">
        <f>AB77</f>
        <v>602888.24</v>
      </c>
      <c r="W77" s="449">
        <f>SUM(X77:AA77)</f>
        <v>602888.24</v>
      </c>
      <c r="X77" s="395">
        <f>H77*K77</f>
        <v>559857.20000000007</v>
      </c>
      <c r="Y77" s="14">
        <f>H77*L77</f>
        <v>13836.97</v>
      </c>
      <c r="Z77" s="395">
        <f>H77*M77</f>
        <v>29194.07</v>
      </c>
      <c r="AB77" s="449">
        <f>SUM(AC77:AF77)</f>
        <v>602888.24</v>
      </c>
      <c r="AC77" s="395">
        <f>I77*K77</f>
        <v>559857.20000000007</v>
      </c>
      <c r="AD77" s="14">
        <f>I77*L77</f>
        <v>13836.97</v>
      </c>
      <c r="AE77" s="395">
        <f>I77*M77</f>
        <v>29194.07</v>
      </c>
    </row>
    <row r="78" spans="1:31" ht="17.399999999999999" customHeight="1" x14ac:dyDescent="0.25">
      <c r="A78" s="828"/>
      <c r="B78" s="402"/>
      <c r="C78" s="24" t="s">
        <v>36</v>
      </c>
      <c r="D78" s="19" t="s">
        <v>37</v>
      </c>
      <c r="E78" s="607">
        <v>2</v>
      </c>
      <c r="F78" s="607">
        <v>2</v>
      </c>
      <c r="G78" s="11">
        <v>2</v>
      </c>
      <c r="H78" s="444">
        <v>2</v>
      </c>
      <c r="I78" s="444">
        <v>2</v>
      </c>
      <c r="J78" s="395">
        <f>K78</f>
        <v>234360</v>
      </c>
      <c r="K78" s="395">
        <f>10000*1.5*1.302*12</f>
        <v>234360</v>
      </c>
      <c r="L78" s="384"/>
      <c r="M78" s="14"/>
      <c r="N78" s="14">
        <f>SUM(O78:R78)</f>
        <v>468720</v>
      </c>
      <c r="O78" s="449">
        <f>G78*K78</f>
        <v>468720</v>
      </c>
      <c r="P78" s="395"/>
      <c r="Q78" s="395"/>
      <c r="R78" s="150"/>
      <c r="S78" s="149"/>
      <c r="T78" s="149">
        <f>H78*K78-468720</f>
        <v>0</v>
      </c>
      <c r="U78" s="149">
        <f>I78*K78-468720</f>
        <v>0</v>
      </c>
      <c r="X78" s="25"/>
    </row>
    <row r="79" spans="1:31" ht="29.4" customHeight="1" x14ac:dyDescent="0.25">
      <c r="A79" s="828"/>
      <c r="B79" s="402"/>
      <c r="C79" s="446" t="s">
        <v>38</v>
      </c>
      <c r="D79" s="19"/>
      <c r="E79" s="608">
        <f>E74+E77</f>
        <v>37</v>
      </c>
      <c r="F79" s="695">
        <f>F74+F77</f>
        <v>38</v>
      </c>
      <c r="G79" s="688">
        <f>G74+G77</f>
        <v>38</v>
      </c>
      <c r="H79" s="760">
        <f>H74+H77</f>
        <v>42</v>
      </c>
      <c r="I79" s="760">
        <f>I74+I77</f>
        <v>42</v>
      </c>
      <c r="J79" s="395" t="s">
        <v>26</v>
      </c>
      <c r="K79" s="395" t="s">
        <v>26</v>
      </c>
      <c r="L79" s="395" t="s">
        <v>26</v>
      </c>
      <c r="M79" s="150" t="s">
        <v>26</v>
      </c>
      <c r="N79" s="413">
        <f t="shared" ref="N79:U79" si="27">SUM(N74:N78)</f>
        <v>4873016.8999999994</v>
      </c>
      <c r="O79" s="413">
        <f t="shared" si="27"/>
        <v>3237837.38</v>
      </c>
      <c r="P79" s="413">
        <f t="shared" si="27"/>
        <v>525804.86</v>
      </c>
      <c r="Q79" s="413">
        <f t="shared" si="27"/>
        <v>0</v>
      </c>
      <c r="R79" s="646">
        <f>SUM(R74:R78)</f>
        <v>1109374.6599999999</v>
      </c>
      <c r="S79" s="413">
        <f t="shared" si="27"/>
        <v>0</v>
      </c>
      <c r="T79" s="413">
        <f t="shared" si="27"/>
        <v>5354892.79</v>
      </c>
      <c r="U79" s="413">
        <f t="shared" si="27"/>
        <v>5354892.79</v>
      </c>
    </row>
    <row r="80" spans="1:31" ht="58.2" customHeight="1" x14ac:dyDescent="0.25">
      <c r="A80" s="828"/>
      <c r="B80" s="823" t="s">
        <v>115</v>
      </c>
      <c r="C80" s="821" t="s">
        <v>41</v>
      </c>
      <c r="D80" s="19" t="s">
        <v>24</v>
      </c>
      <c r="E80" s="696">
        <f>1252+176+73-27</f>
        <v>1474</v>
      </c>
      <c r="F80" s="694">
        <f>1252+176+46</f>
        <v>1474</v>
      </c>
      <c r="G80" s="788">
        <v>1474</v>
      </c>
      <c r="H80" s="444">
        <f>1252+176+46</f>
        <v>1474</v>
      </c>
      <c r="I80" s="444">
        <f>1252+176+46</f>
        <v>1474</v>
      </c>
      <c r="J80" s="150">
        <f>K80</f>
        <v>5125.76</v>
      </c>
      <c r="K80" s="150">
        <v>5125.76</v>
      </c>
      <c r="L80" s="150" t="s">
        <v>26</v>
      </c>
      <c r="M80" s="150" t="s">
        <v>26</v>
      </c>
      <c r="N80" s="395">
        <f>SUM(O80:R80)</f>
        <v>7555370.2400000002</v>
      </c>
      <c r="O80" s="395">
        <f>G80*K80</f>
        <v>7555370.2400000002</v>
      </c>
      <c r="P80" s="395" t="s">
        <v>26</v>
      </c>
      <c r="Q80" s="395"/>
      <c r="R80" s="150" t="s">
        <v>26</v>
      </c>
      <c r="S80" s="396"/>
      <c r="T80" s="149">
        <f>H80*K80</f>
        <v>7555370.2400000002</v>
      </c>
      <c r="U80" s="149">
        <f>I80*K80</f>
        <v>7555370.2400000002</v>
      </c>
    </row>
    <row r="81" spans="1:31" ht="47.4" customHeight="1" x14ac:dyDescent="0.25">
      <c r="A81" s="828"/>
      <c r="B81" s="824"/>
      <c r="C81" s="822"/>
      <c r="D81" s="746" t="s">
        <v>235</v>
      </c>
      <c r="E81" s="749">
        <f>58786-663-1615</f>
        <v>56508</v>
      </c>
      <c r="F81" s="750">
        <f>58786-663</f>
        <v>58123</v>
      </c>
      <c r="G81" s="751">
        <v>54893</v>
      </c>
      <c r="H81" s="752">
        <v>54893</v>
      </c>
      <c r="I81" s="752">
        <v>54893</v>
      </c>
      <c r="J81" s="364">
        <f>K81</f>
        <v>137.63813673874628</v>
      </c>
      <c r="K81" s="364">
        <f>N81/G81</f>
        <v>137.63813673874628</v>
      </c>
      <c r="L81" s="364" t="s">
        <v>26</v>
      </c>
      <c r="M81" s="364" t="s">
        <v>26</v>
      </c>
      <c r="N81" s="753">
        <f>N80</f>
        <v>7555370.2400000002</v>
      </c>
      <c r="O81" s="753">
        <f>O80</f>
        <v>7555370.2400000002</v>
      </c>
      <c r="P81" s="753" t="s">
        <v>26</v>
      </c>
      <c r="Q81" s="753"/>
      <c r="R81" s="364" t="s">
        <v>26</v>
      </c>
      <c r="S81" s="753"/>
      <c r="T81" s="364">
        <f>T80/G81*H81</f>
        <v>7555370.2399999993</v>
      </c>
      <c r="U81" s="364">
        <f>U80/G81*I81</f>
        <v>7555370.2399999993</v>
      </c>
    </row>
    <row r="82" spans="1:31" ht="19.2" customHeight="1" x14ac:dyDescent="0.25">
      <c r="A82" s="828"/>
      <c r="B82" s="390"/>
      <c r="C82" s="401" t="s">
        <v>38</v>
      </c>
      <c r="D82" s="409"/>
      <c r="E82" s="607">
        <f>SUM(E80:E80)</f>
        <v>1474</v>
      </c>
      <c r="F82" s="607">
        <f>SUM(F80:F80)</f>
        <v>1474</v>
      </c>
      <c r="G82" s="607">
        <f>SUM(G80:G80)</f>
        <v>1474</v>
      </c>
      <c r="H82" s="444">
        <f>SUM(H80:H80)</f>
        <v>1474</v>
      </c>
      <c r="I82" s="444">
        <f>SUM(I80:I80)</f>
        <v>1474</v>
      </c>
      <c r="J82" s="395" t="s">
        <v>26</v>
      </c>
      <c r="K82" s="395">
        <v>0</v>
      </c>
      <c r="L82" s="395">
        <v>0</v>
      </c>
      <c r="M82" s="150">
        <f t="shared" ref="M82:N82" si="28">SUM(M80:M80)</f>
        <v>0</v>
      </c>
      <c r="N82" s="413">
        <f t="shared" si="28"/>
        <v>7555370.2400000002</v>
      </c>
      <c r="O82" s="395">
        <f>SUM(O80:O80)</f>
        <v>7555370.2400000002</v>
      </c>
      <c r="P82" s="395">
        <f>G82*L82</f>
        <v>0</v>
      </c>
      <c r="Q82" s="395"/>
      <c r="R82" s="150">
        <f>G82*M82</f>
        <v>0</v>
      </c>
      <c r="S82" s="396"/>
      <c r="T82" s="149">
        <f>T80</f>
        <v>7555370.2400000002</v>
      </c>
      <c r="U82" s="149">
        <f>U80</f>
        <v>7555370.2400000002</v>
      </c>
    </row>
    <row r="83" spans="1:31" ht="27.6" x14ac:dyDescent="0.25">
      <c r="A83" s="828"/>
      <c r="B83" s="158" t="s">
        <v>45</v>
      </c>
      <c r="C83" s="28" t="s">
        <v>44</v>
      </c>
      <c r="D83" s="410" t="s">
        <v>46</v>
      </c>
      <c r="E83" s="607">
        <f>10+1</f>
        <v>11</v>
      </c>
      <c r="F83" s="607">
        <f>10+1</f>
        <v>11</v>
      </c>
      <c r="G83" s="11">
        <f>10+1</f>
        <v>11</v>
      </c>
      <c r="H83" s="444">
        <f>10+1</f>
        <v>11</v>
      </c>
      <c r="I83" s="444">
        <f>10+1</f>
        <v>11</v>
      </c>
      <c r="J83" s="150">
        <f>K83</f>
        <v>0</v>
      </c>
      <c r="K83" s="150"/>
      <c r="L83" s="150">
        <v>316440.09999999998</v>
      </c>
      <c r="M83" s="150"/>
      <c r="N83" s="395">
        <f>P83</f>
        <v>3480841.0999999996</v>
      </c>
      <c r="O83" s="395"/>
      <c r="P83" s="395">
        <f>G83*L83</f>
        <v>3480841.0999999996</v>
      </c>
      <c r="Q83" s="395"/>
      <c r="R83" s="150"/>
      <c r="S83" s="396"/>
      <c r="T83" s="149">
        <f>P83</f>
        <v>3480841.0999999996</v>
      </c>
      <c r="U83" s="149">
        <f t="shared" ref="U83:U88" si="29">T83</f>
        <v>3480841.0999999996</v>
      </c>
    </row>
    <row r="84" spans="1:31" hidden="1" x14ac:dyDescent="0.25">
      <c r="A84" s="828"/>
      <c r="B84" s="28" t="s">
        <v>53</v>
      </c>
      <c r="C84" s="28" t="s">
        <v>54</v>
      </c>
      <c r="D84" s="19" t="s">
        <v>24</v>
      </c>
      <c r="E84" s="607">
        <v>19</v>
      </c>
      <c r="F84" s="607">
        <v>19</v>
      </c>
      <c r="G84" s="607">
        <v>19</v>
      </c>
      <c r="H84" s="444">
        <v>19</v>
      </c>
      <c r="I84" s="444">
        <v>19</v>
      </c>
      <c r="J84" s="395"/>
      <c r="K84" s="395"/>
      <c r="L84" s="395"/>
      <c r="M84" s="150"/>
      <c r="N84" s="395">
        <f>S84</f>
        <v>0</v>
      </c>
      <c r="O84" s="395"/>
      <c r="P84" s="395"/>
      <c r="Q84" s="395"/>
      <c r="R84" s="150"/>
      <c r="S84" s="396"/>
      <c r="T84" s="149">
        <f>S84</f>
        <v>0</v>
      </c>
      <c r="U84" s="149">
        <f t="shared" si="29"/>
        <v>0</v>
      </c>
    </row>
    <row r="85" spans="1:31" hidden="1" x14ac:dyDescent="0.25">
      <c r="A85" s="828"/>
      <c r="B85" s="28" t="s">
        <v>53</v>
      </c>
      <c r="C85" s="28" t="s">
        <v>44</v>
      </c>
      <c r="D85" s="19" t="s">
        <v>24</v>
      </c>
      <c r="E85" s="607">
        <v>4</v>
      </c>
      <c r="F85" s="607">
        <v>4</v>
      </c>
      <c r="G85" s="607">
        <v>4</v>
      </c>
      <c r="H85" s="444">
        <v>4</v>
      </c>
      <c r="I85" s="444">
        <v>4</v>
      </c>
      <c r="J85" s="395"/>
      <c r="K85" s="395"/>
      <c r="L85" s="395"/>
      <c r="M85" s="150"/>
      <c r="N85" s="395">
        <f>Q85</f>
        <v>0</v>
      </c>
      <c r="O85" s="395"/>
      <c r="P85" s="395"/>
      <c r="Q85" s="395"/>
      <c r="R85" s="150"/>
      <c r="S85" s="396"/>
      <c r="T85" s="149"/>
      <c r="U85" s="149">
        <f t="shared" si="29"/>
        <v>0</v>
      </c>
      <c r="V85" s="25"/>
      <c r="W85" s="25"/>
    </row>
    <row r="86" spans="1:31" hidden="1" x14ac:dyDescent="0.25">
      <c r="A86" s="828"/>
      <c r="B86" s="28" t="s">
        <v>55</v>
      </c>
      <c r="C86" s="28" t="s">
        <v>54</v>
      </c>
      <c r="D86" s="19"/>
      <c r="E86" s="607"/>
      <c r="F86" s="607"/>
      <c r="G86" s="607"/>
      <c r="H86" s="444"/>
      <c r="I86" s="444"/>
      <c r="J86" s="395"/>
      <c r="K86" s="395"/>
      <c r="L86" s="395"/>
      <c r="M86" s="150"/>
      <c r="N86" s="395">
        <f>S86</f>
        <v>0</v>
      </c>
      <c r="O86" s="395"/>
      <c r="P86" s="395"/>
      <c r="Q86" s="395"/>
      <c r="R86" s="150"/>
      <c r="S86" s="396"/>
      <c r="T86" s="149"/>
      <c r="U86" s="149"/>
    </row>
    <row r="87" spans="1:31" ht="17.399999999999999" customHeight="1" x14ac:dyDescent="0.25">
      <c r="A87" s="828"/>
      <c r="B87" s="28" t="s">
        <v>47</v>
      </c>
      <c r="C87" s="28" t="s">
        <v>44</v>
      </c>
      <c r="D87" s="19"/>
      <c r="E87" s="607">
        <v>25</v>
      </c>
      <c r="F87" s="607">
        <v>25</v>
      </c>
      <c r="G87" s="11">
        <v>25</v>
      </c>
      <c r="H87" s="444">
        <v>25</v>
      </c>
      <c r="I87" s="444">
        <v>25</v>
      </c>
      <c r="J87" s="395"/>
      <c r="K87" s="395"/>
      <c r="L87" s="395"/>
      <c r="M87" s="150"/>
      <c r="N87" s="14">
        <f>SUM(O87:R87)</f>
        <v>5859040</v>
      </c>
      <c r="O87" s="449">
        <f>O78+O72+O60</f>
        <v>5859040</v>
      </c>
      <c r="P87" s="395"/>
      <c r="Q87" s="395"/>
      <c r="R87" s="150"/>
      <c r="S87" s="396"/>
      <c r="T87" s="340">
        <f>T78+T72+T60</f>
        <v>0</v>
      </c>
      <c r="U87" s="340">
        <f>U78+U72+U60</f>
        <v>0</v>
      </c>
    </row>
    <row r="88" spans="1:31" ht="13.95" hidden="1" customHeight="1" x14ac:dyDescent="0.25">
      <c r="A88" s="828"/>
      <c r="B88" s="28" t="s">
        <v>48</v>
      </c>
      <c r="C88" s="28" t="s">
        <v>44</v>
      </c>
      <c r="D88" s="19"/>
      <c r="E88" s="607"/>
      <c r="F88" s="607"/>
      <c r="G88" s="607"/>
      <c r="H88" s="444"/>
      <c r="I88" s="444"/>
      <c r="J88" s="395"/>
      <c r="K88" s="395"/>
      <c r="L88" s="395"/>
      <c r="M88" s="150"/>
      <c r="N88" s="395">
        <f>O88</f>
        <v>0</v>
      </c>
      <c r="O88" s="395"/>
      <c r="P88" s="395"/>
      <c r="Q88" s="395"/>
      <c r="R88" s="150"/>
      <c r="S88" s="396"/>
      <c r="T88" s="149">
        <f>O88</f>
        <v>0</v>
      </c>
      <c r="U88" s="149">
        <f t="shared" si="29"/>
        <v>0</v>
      </c>
    </row>
    <row r="89" spans="1:31" ht="13.95" hidden="1" customHeight="1" x14ac:dyDescent="0.25">
      <c r="A89" s="828"/>
      <c r="B89" s="28" t="s">
        <v>49</v>
      </c>
      <c r="C89" s="28" t="s">
        <v>44</v>
      </c>
      <c r="D89" s="19"/>
      <c r="E89" s="607"/>
      <c r="F89" s="607"/>
      <c r="G89" s="607"/>
      <c r="H89" s="444"/>
      <c r="I89" s="444"/>
      <c r="J89" s="395"/>
      <c r="K89" s="395"/>
      <c r="L89" s="395"/>
      <c r="M89" s="150"/>
      <c r="N89" s="395">
        <f>P89</f>
        <v>0</v>
      </c>
      <c r="O89" s="395"/>
      <c r="P89" s="395"/>
      <c r="Q89" s="395"/>
      <c r="R89" s="150"/>
      <c r="S89" s="396"/>
      <c r="T89" s="149"/>
      <c r="U89" s="149">
        <f>T89</f>
        <v>0</v>
      </c>
    </row>
    <row r="90" spans="1:31" ht="27.6" customHeight="1" x14ac:dyDescent="0.25">
      <c r="A90" s="829"/>
      <c r="B90" s="409" t="s">
        <v>50</v>
      </c>
      <c r="C90" s="409"/>
      <c r="D90" s="409"/>
      <c r="E90" s="608">
        <f>E61+E73+E79</f>
        <v>526</v>
      </c>
      <c r="F90" s="608">
        <f>F61+F73+F79</f>
        <v>533</v>
      </c>
      <c r="G90" s="688">
        <f>G61+G73+G79</f>
        <v>531</v>
      </c>
      <c r="H90" s="760">
        <f>H61+H73+H79</f>
        <v>667</v>
      </c>
      <c r="I90" s="760">
        <f>I61+I73+I79</f>
        <v>708</v>
      </c>
      <c r="J90" s="413"/>
      <c r="K90" s="413"/>
      <c r="L90" s="413"/>
      <c r="M90" s="153"/>
      <c r="N90" s="413">
        <f>SUM(O90:S90)</f>
        <v>83593029.939999998</v>
      </c>
      <c r="O90" s="413">
        <f>O61+O73+O79+O82+O88</f>
        <v>54206643.700000003</v>
      </c>
      <c r="P90" s="413">
        <f>P61+P73+P79+P82+P83+P84+P85+P89</f>
        <v>13884335.069999998</v>
      </c>
      <c r="Q90" s="413">
        <f>Q61+Q73+Q79+Q82+Q83+Q84+Q85</f>
        <v>0</v>
      </c>
      <c r="R90" s="646">
        <f>R61+R73+R79+R82+R83+R84+R85+R86</f>
        <v>15502051.17</v>
      </c>
      <c r="S90" s="422">
        <f>S61+S73+S79+S82+S83+S84+S85+S86</f>
        <v>0</v>
      </c>
      <c r="T90" s="422">
        <f>T61+T73+T79+T82+T83+T84+T85+T86+T88+T89</f>
        <v>86986184.150000006</v>
      </c>
      <c r="U90" s="422">
        <f>U61+U73+U79+U82+U83+U84+U85+U86+U88+U89</f>
        <v>91328503.579999998</v>
      </c>
      <c r="V90" s="25"/>
      <c r="W90" s="1" t="s">
        <v>442</v>
      </c>
      <c r="AB90" s="1" t="s">
        <v>568</v>
      </c>
    </row>
    <row r="91" spans="1:31" ht="76.2" customHeight="1" x14ac:dyDescent="0.25">
      <c r="A91" s="826" t="s">
        <v>56</v>
      </c>
      <c r="B91" s="818" t="s">
        <v>112</v>
      </c>
      <c r="C91" s="22" t="s">
        <v>23</v>
      </c>
      <c r="D91" s="19" t="s">
        <v>24</v>
      </c>
      <c r="E91" s="698">
        <f>220-1</f>
        <v>219</v>
      </c>
      <c r="F91" s="682">
        <v>208</v>
      </c>
      <c r="G91" s="445">
        <f>175+35</f>
        <v>210</v>
      </c>
      <c r="H91" s="756">
        <f>177+32</f>
        <v>209</v>
      </c>
      <c r="I91" s="756">
        <f>173+32</f>
        <v>205</v>
      </c>
      <c r="J91" s="384">
        <f>SUM(K91:M91)</f>
        <v>81422.03</v>
      </c>
      <c r="K91" s="14">
        <f>36390.31+2198.86</f>
        <v>38589.17</v>
      </c>
      <c r="L91" s="14">
        <v>13638.79</v>
      </c>
      <c r="M91" s="478">
        <v>29194.07</v>
      </c>
      <c r="N91" s="427">
        <f>SUM(O91:R91)</f>
        <v>17098626.300000001</v>
      </c>
      <c r="O91" s="427">
        <f>G91*K91</f>
        <v>8103725.6999999993</v>
      </c>
      <c r="P91" s="478">
        <f>G91*L91</f>
        <v>2864145.9000000004</v>
      </c>
      <c r="Q91" s="427"/>
      <c r="R91" s="150">
        <f>G91*M91</f>
        <v>6130754.7000000002</v>
      </c>
      <c r="S91" s="149"/>
      <c r="T91" s="149">
        <f>W91</f>
        <v>17017204.27</v>
      </c>
      <c r="U91" s="149">
        <f>AB91</f>
        <v>16691516.15</v>
      </c>
      <c r="W91" s="449">
        <f>SUM(X91:AA91)</f>
        <v>17017204.27</v>
      </c>
      <c r="X91" s="395">
        <f>H91*K91</f>
        <v>8065136.5299999993</v>
      </c>
      <c r="Y91" s="14">
        <f>H91*L91</f>
        <v>2850507.1100000003</v>
      </c>
      <c r="Z91" s="395">
        <f>H91*M91</f>
        <v>6101560.6299999999</v>
      </c>
      <c r="AB91" s="449">
        <f>SUM(AC91:AF91)</f>
        <v>16691516.15</v>
      </c>
      <c r="AC91" s="395">
        <f>I91*K91</f>
        <v>7910779.8499999996</v>
      </c>
      <c r="AD91" s="14">
        <f>I91*L91</f>
        <v>2795951.95</v>
      </c>
      <c r="AE91" s="395">
        <f>I91*M91</f>
        <v>5984784.3499999996</v>
      </c>
    </row>
    <row r="92" spans="1:31" ht="82.8" x14ac:dyDescent="0.25">
      <c r="A92" s="826"/>
      <c r="B92" s="819"/>
      <c r="C92" s="405" t="s">
        <v>25</v>
      </c>
      <c r="D92" s="19" t="s">
        <v>24</v>
      </c>
      <c r="E92" s="11" t="s">
        <v>26</v>
      </c>
      <c r="F92" s="11" t="s">
        <v>26</v>
      </c>
      <c r="G92" s="11" t="s">
        <v>26</v>
      </c>
      <c r="H92" s="415" t="s">
        <v>26</v>
      </c>
      <c r="I92" s="415" t="s">
        <v>26</v>
      </c>
      <c r="J92" s="426" t="s">
        <v>26</v>
      </c>
      <c r="K92" s="426" t="s">
        <v>26</v>
      </c>
      <c r="L92" s="426" t="s">
        <v>26</v>
      </c>
      <c r="M92" s="415" t="s">
        <v>26</v>
      </c>
      <c r="N92" s="426"/>
      <c r="O92" s="426"/>
      <c r="P92" s="426" t="s">
        <v>26</v>
      </c>
      <c r="Q92" s="426"/>
      <c r="R92" s="415" t="s">
        <v>26</v>
      </c>
      <c r="S92" s="10"/>
      <c r="T92" s="149"/>
      <c r="U92" s="149"/>
    </row>
    <row r="93" spans="1:31" x14ac:dyDescent="0.25">
      <c r="A93" s="826"/>
      <c r="B93" s="819"/>
      <c r="C93" s="405" t="s">
        <v>57</v>
      </c>
      <c r="D93" s="19" t="s">
        <v>24</v>
      </c>
      <c r="E93" s="11">
        <v>1</v>
      </c>
      <c r="F93" s="682">
        <v>1</v>
      </c>
      <c r="G93" s="11">
        <v>1</v>
      </c>
      <c r="H93" s="415">
        <v>1</v>
      </c>
      <c r="I93" s="415">
        <v>1</v>
      </c>
      <c r="J93" s="150">
        <f t="shared" ref="J93:J98" si="30">K93</f>
        <v>164394.18</v>
      </c>
      <c r="K93" s="150">
        <v>164394.18</v>
      </c>
      <c r="L93" s="426" t="s">
        <v>26</v>
      </c>
      <c r="M93" s="415" t="s">
        <v>26</v>
      </c>
      <c r="N93" s="427">
        <f t="shared" ref="N93:N98" si="31">O93</f>
        <v>164394.18</v>
      </c>
      <c r="O93" s="427">
        <f>G93*K93</f>
        <v>164394.18</v>
      </c>
      <c r="P93" s="426" t="s">
        <v>26</v>
      </c>
      <c r="Q93" s="426"/>
      <c r="R93" s="415" t="s">
        <v>26</v>
      </c>
      <c r="S93" s="10"/>
      <c r="T93" s="149">
        <f t="shared" ref="T93:T98" si="32">H93*K93</f>
        <v>164394.18</v>
      </c>
      <c r="U93" s="149">
        <f t="shared" ref="U93:U98" si="33">I93*K93</f>
        <v>164394.18</v>
      </c>
    </row>
    <row r="94" spans="1:31" x14ac:dyDescent="0.25">
      <c r="A94" s="826"/>
      <c r="B94" s="819"/>
      <c r="C94" s="405" t="s">
        <v>27</v>
      </c>
      <c r="D94" s="19" t="s">
        <v>24</v>
      </c>
      <c r="E94" s="11"/>
      <c r="F94" s="11"/>
      <c r="G94" s="11">
        <v>0</v>
      </c>
      <c r="H94" s="415">
        <v>0</v>
      </c>
      <c r="I94" s="415">
        <v>0</v>
      </c>
      <c r="J94" s="150">
        <f t="shared" si="30"/>
        <v>148440.13</v>
      </c>
      <c r="K94" s="150">
        <v>148440.13</v>
      </c>
      <c r="L94" s="426" t="s">
        <v>26</v>
      </c>
      <c r="M94" s="415" t="s">
        <v>26</v>
      </c>
      <c r="N94" s="427">
        <f t="shared" si="31"/>
        <v>0</v>
      </c>
      <c r="O94" s="427">
        <f t="shared" ref="O94:O98" si="34">G94*K94</f>
        <v>0</v>
      </c>
      <c r="P94" s="426" t="s">
        <v>26</v>
      </c>
      <c r="Q94" s="426"/>
      <c r="R94" s="415" t="s">
        <v>26</v>
      </c>
      <c r="S94" s="10"/>
      <c r="T94" s="149">
        <f t="shared" si="32"/>
        <v>0</v>
      </c>
      <c r="U94" s="149">
        <f t="shared" si="33"/>
        <v>0</v>
      </c>
    </row>
    <row r="95" spans="1:31" x14ac:dyDescent="0.25">
      <c r="A95" s="826"/>
      <c r="B95" s="819"/>
      <c r="C95" s="405" t="s">
        <v>28</v>
      </c>
      <c r="D95" s="19" t="s">
        <v>24</v>
      </c>
      <c r="E95" s="698">
        <f>24-1</f>
        <v>23</v>
      </c>
      <c r="F95" s="682">
        <f>24-7</f>
        <v>17</v>
      </c>
      <c r="G95" s="11">
        <v>17</v>
      </c>
      <c r="H95" s="415">
        <v>15</v>
      </c>
      <c r="I95" s="415">
        <v>15</v>
      </c>
      <c r="J95" s="150">
        <f t="shared" si="30"/>
        <v>164394.18</v>
      </c>
      <c r="K95" s="150">
        <v>164394.18</v>
      </c>
      <c r="L95" s="426" t="s">
        <v>26</v>
      </c>
      <c r="M95" s="415" t="s">
        <v>26</v>
      </c>
      <c r="N95" s="427">
        <f t="shared" si="31"/>
        <v>2794701.06</v>
      </c>
      <c r="O95" s="427">
        <f t="shared" si="34"/>
        <v>2794701.06</v>
      </c>
      <c r="P95" s="426" t="s">
        <v>26</v>
      </c>
      <c r="Q95" s="426"/>
      <c r="R95" s="415" t="s">
        <v>26</v>
      </c>
      <c r="S95" s="10"/>
      <c r="T95" s="149">
        <f t="shared" si="32"/>
        <v>2465912.6999999997</v>
      </c>
      <c r="U95" s="149">
        <f t="shared" si="33"/>
        <v>2465912.6999999997</v>
      </c>
    </row>
    <row r="96" spans="1:31" x14ac:dyDescent="0.25">
      <c r="A96" s="826"/>
      <c r="B96" s="819"/>
      <c r="C96" s="405" t="s">
        <v>29</v>
      </c>
      <c r="D96" s="19" t="s">
        <v>24</v>
      </c>
      <c r="E96" s="11">
        <v>1</v>
      </c>
      <c r="F96" s="682">
        <v>1</v>
      </c>
      <c r="G96" s="11">
        <v>1</v>
      </c>
      <c r="H96" s="415">
        <v>1</v>
      </c>
      <c r="I96" s="415">
        <v>1</v>
      </c>
      <c r="J96" s="150">
        <f t="shared" si="30"/>
        <v>196302.28</v>
      </c>
      <c r="K96" s="150">
        <v>196302.28</v>
      </c>
      <c r="L96" s="426" t="s">
        <v>26</v>
      </c>
      <c r="M96" s="415" t="s">
        <v>26</v>
      </c>
      <c r="N96" s="427">
        <f t="shared" si="31"/>
        <v>196302.28</v>
      </c>
      <c r="O96" s="427">
        <f t="shared" si="34"/>
        <v>196302.28</v>
      </c>
      <c r="P96" s="426" t="s">
        <v>26</v>
      </c>
      <c r="Q96" s="426"/>
      <c r="R96" s="415" t="s">
        <v>26</v>
      </c>
      <c r="S96" s="10"/>
      <c r="T96" s="149">
        <f t="shared" si="32"/>
        <v>196302.28</v>
      </c>
      <c r="U96" s="149">
        <f t="shared" si="33"/>
        <v>196302.28</v>
      </c>
    </row>
    <row r="97" spans="1:31" x14ac:dyDescent="0.25">
      <c r="A97" s="826"/>
      <c r="B97" s="819"/>
      <c r="C97" s="405" t="s">
        <v>30</v>
      </c>
      <c r="D97" s="19" t="s">
        <v>24</v>
      </c>
      <c r="E97" s="11">
        <v>15</v>
      </c>
      <c r="F97" s="682">
        <v>16</v>
      </c>
      <c r="G97" s="11">
        <v>16</v>
      </c>
      <c r="H97" s="415">
        <f>15</f>
        <v>15</v>
      </c>
      <c r="I97" s="415">
        <f>15</f>
        <v>15</v>
      </c>
      <c r="J97" s="150">
        <f t="shared" si="30"/>
        <v>162574.21</v>
      </c>
      <c r="K97" s="150">
        <v>162574.21</v>
      </c>
      <c r="L97" s="426" t="s">
        <v>26</v>
      </c>
      <c r="M97" s="415" t="s">
        <v>26</v>
      </c>
      <c r="N97" s="427">
        <f t="shared" si="31"/>
        <v>2601187.36</v>
      </c>
      <c r="O97" s="427">
        <f t="shared" si="34"/>
        <v>2601187.36</v>
      </c>
      <c r="P97" s="426" t="s">
        <v>26</v>
      </c>
      <c r="Q97" s="426"/>
      <c r="R97" s="415" t="s">
        <v>26</v>
      </c>
      <c r="S97" s="10"/>
      <c r="T97" s="149">
        <f t="shared" si="32"/>
        <v>2438613.15</v>
      </c>
      <c r="U97" s="149">
        <f t="shared" si="33"/>
        <v>2438613.15</v>
      </c>
    </row>
    <row r="98" spans="1:31" x14ac:dyDescent="0.25">
      <c r="A98" s="826"/>
      <c r="B98" s="819"/>
      <c r="C98" s="405" t="s">
        <v>34</v>
      </c>
      <c r="D98" s="19" t="s">
        <v>24</v>
      </c>
      <c r="E98" s="445"/>
      <c r="F98" s="445"/>
      <c r="G98" s="11">
        <v>0</v>
      </c>
      <c r="H98" s="415">
        <v>0</v>
      </c>
      <c r="I98" s="415">
        <v>0</v>
      </c>
      <c r="J98" s="150">
        <f t="shared" si="30"/>
        <v>146900.85999999999</v>
      </c>
      <c r="K98" s="150">
        <v>146900.85999999999</v>
      </c>
      <c r="L98" s="426" t="s">
        <v>26</v>
      </c>
      <c r="M98" s="415" t="s">
        <v>26</v>
      </c>
      <c r="N98" s="427">
        <f t="shared" si="31"/>
        <v>0</v>
      </c>
      <c r="O98" s="427">
        <f t="shared" si="34"/>
        <v>0</v>
      </c>
      <c r="P98" s="426" t="s">
        <v>26</v>
      </c>
      <c r="Q98" s="426"/>
      <c r="R98" s="415" t="s">
        <v>26</v>
      </c>
      <c r="S98" s="10"/>
      <c r="T98" s="149">
        <f t="shared" si="32"/>
        <v>0</v>
      </c>
      <c r="U98" s="149">
        <f t="shared" si="33"/>
        <v>0</v>
      </c>
      <c r="W98" s="494" t="s">
        <v>355</v>
      </c>
    </row>
    <row r="99" spans="1:31" ht="82.95" customHeight="1" x14ac:dyDescent="0.25">
      <c r="A99" s="826"/>
      <c r="B99" s="819"/>
      <c r="C99" s="405" t="s">
        <v>35</v>
      </c>
      <c r="D99" s="19" t="s">
        <v>24</v>
      </c>
      <c r="E99" s="11">
        <v>2</v>
      </c>
      <c r="F99" s="682">
        <v>1</v>
      </c>
      <c r="G99" s="11">
        <v>1</v>
      </c>
      <c r="H99" s="415">
        <v>1</v>
      </c>
      <c r="I99" s="415">
        <v>1</v>
      </c>
      <c r="J99" s="150">
        <f>SUM(K99:M99)</f>
        <v>490148.29</v>
      </c>
      <c r="K99" s="150">
        <f>445116.57+2198.86</f>
        <v>447315.43</v>
      </c>
      <c r="L99" s="14">
        <v>13638.79</v>
      </c>
      <c r="M99" s="478">
        <v>29194.07</v>
      </c>
      <c r="N99" s="427">
        <f>SUM(O99:R99)</f>
        <v>490148.29</v>
      </c>
      <c r="O99" s="427">
        <f>G99*K99</f>
        <v>447315.43</v>
      </c>
      <c r="P99" s="427">
        <f>G99*L99</f>
        <v>13638.79</v>
      </c>
      <c r="Q99" s="427"/>
      <c r="R99" s="150">
        <f>G99*M99</f>
        <v>29194.07</v>
      </c>
      <c r="S99" s="149"/>
      <c r="T99" s="149">
        <f>W99</f>
        <v>490148.29</v>
      </c>
      <c r="U99" s="149">
        <f>AB99</f>
        <v>490148.29</v>
      </c>
      <c r="W99" s="449">
        <f>SUM(X99:AA99)</f>
        <v>490148.29</v>
      </c>
      <c r="X99" s="395">
        <f>H99*K99</f>
        <v>447315.43</v>
      </c>
      <c r="Y99" s="14">
        <f>H99*L99</f>
        <v>13638.79</v>
      </c>
      <c r="Z99" s="395">
        <f>H99*M99</f>
        <v>29194.07</v>
      </c>
      <c r="AB99" s="449">
        <f>SUM(AC99:AF99)</f>
        <v>490148.29</v>
      </c>
      <c r="AC99" s="395">
        <f>I99*K99</f>
        <v>447315.43</v>
      </c>
      <c r="AD99" s="14">
        <f>I99*L99</f>
        <v>13638.79</v>
      </c>
      <c r="AE99" s="395">
        <f>I99*M99</f>
        <v>29194.07</v>
      </c>
    </row>
    <row r="100" spans="1:31" ht="13.95" customHeight="1" x14ac:dyDescent="0.25">
      <c r="A100" s="826"/>
      <c r="B100" s="819"/>
      <c r="C100" s="419" t="s">
        <v>58</v>
      </c>
      <c r="D100" s="19" t="s">
        <v>59</v>
      </c>
      <c r="E100" s="11">
        <v>8</v>
      </c>
      <c r="F100" s="11">
        <v>8</v>
      </c>
      <c r="G100" s="11">
        <v>8</v>
      </c>
      <c r="H100" s="415">
        <v>8</v>
      </c>
      <c r="I100" s="415">
        <v>8</v>
      </c>
      <c r="J100" s="150">
        <f>SUM(K100:M100)</f>
        <v>234360</v>
      </c>
      <c r="K100" s="150">
        <f>10000*1.5*1.302*12</f>
        <v>234360</v>
      </c>
      <c r="L100" s="384"/>
      <c r="M100" s="14"/>
      <c r="N100" s="14">
        <f>SUM(O100:R100)</f>
        <v>1874880</v>
      </c>
      <c r="O100" s="478">
        <f>G100*K100</f>
        <v>1874880</v>
      </c>
      <c r="P100" s="427"/>
      <c r="Q100" s="427"/>
      <c r="R100" s="150"/>
      <c r="S100" s="149"/>
      <c r="T100" s="149">
        <f>H100*K100-1874880</f>
        <v>0</v>
      </c>
      <c r="U100" s="149">
        <f>I100*K100-1874880</f>
        <v>0</v>
      </c>
    </row>
    <row r="101" spans="1:31" ht="27.6" customHeight="1" x14ac:dyDescent="0.25">
      <c r="A101" s="826"/>
      <c r="B101" s="820"/>
      <c r="C101" s="420" t="s">
        <v>38</v>
      </c>
      <c r="D101" s="19"/>
      <c r="E101" s="606">
        <f>E91+E99</f>
        <v>221</v>
      </c>
      <c r="F101" s="685">
        <f>F91+F99</f>
        <v>209</v>
      </c>
      <c r="G101" s="684">
        <f>G91+G99</f>
        <v>211</v>
      </c>
      <c r="H101" s="757">
        <f>H91+H99</f>
        <v>210</v>
      </c>
      <c r="I101" s="757">
        <f>I91+I99</f>
        <v>206</v>
      </c>
      <c r="J101" s="427" t="s">
        <v>26</v>
      </c>
      <c r="K101" s="427" t="s">
        <v>26</v>
      </c>
      <c r="L101" s="427" t="s">
        <v>26</v>
      </c>
      <c r="M101" s="14" t="s">
        <v>26</v>
      </c>
      <c r="N101" s="431">
        <f t="shared" ref="N101:U101" si="35">SUM(N91:N100)</f>
        <v>25220239.469999999</v>
      </c>
      <c r="O101" s="431">
        <f t="shared" si="35"/>
        <v>16182506.009999998</v>
      </c>
      <c r="P101" s="431">
        <f t="shared" si="35"/>
        <v>2877784.6900000004</v>
      </c>
      <c r="Q101" s="431">
        <f t="shared" si="35"/>
        <v>0</v>
      </c>
      <c r="R101" s="775">
        <f t="shared" si="35"/>
        <v>6159948.7700000005</v>
      </c>
      <c r="S101" s="431">
        <f t="shared" si="35"/>
        <v>0</v>
      </c>
      <c r="T101" s="431">
        <f t="shared" si="35"/>
        <v>22772574.869999997</v>
      </c>
      <c r="U101" s="431">
        <f t="shared" si="35"/>
        <v>22446886.75</v>
      </c>
      <c r="W101" s="1" t="s">
        <v>442</v>
      </c>
      <c r="AB101" s="1" t="s">
        <v>568</v>
      </c>
    </row>
    <row r="102" spans="1:31" ht="72.599999999999994" customHeight="1" x14ac:dyDescent="0.25">
      <c r="A102" s="826"/>
      <c r="B102" s="818" t="s">
        <v>316</v>
      </c>
      <c r="C102" s="22" t="s">
        <v>23</v>
      </c>
      <c r="D102" s="19" t="s">
        <v>24</v>
      </c>
      <c r="E102" s="11">
        <v>230</v>
      </c>
      <c r="F102" s="682">
        <v>223</v>
      </c>
      <c r="G102" s="11">
        <f>217+G108</f>
        <v>222</v>
      </c>
      <c r="H102" s="415">
        <f>207+H108</f>
        <v>219</v>
      </c>
      <c r="I102" s="415">
        <f>209+I108</f>
        <v>228</v>
      </c>
      <c r="J102" s="384">
        <f>SUM(K102:M102)</f>
        <v>99728.75</v>
      </c>
      <c r="K102" s="14">
        <f>54145.32+2750.57</f>
        <v>56895.89</v>
      </c>
      <c r="L102" s="14">
        <v>13638.79</v>
      </c>
      <c r="M102" s="478">
        <v>29194.07</v>
      </c>
      <c r="N102" s="14">
        <f>SUM(O102:R102)</f>
        <v>22139782.5</v>
      </c>
      <c r="O102" s="427">
        <f>G102*K102</f>
        <v>12630887.58</v>
      </c>
      <c r="P102" s="14">
        <f>G102*L102</f>
        <v>3027811.3800000004</v>
      </c>
      <c r="Q102" s="427"/>
      <c r="R102" s="150">
        <f>G102*M102</f>
        <v>6481083.54</v>
      </c>
      <c r="S102" s="149"/>
      <c r="T102" s="149">
        <f>W102</f>
        <v>21840596.25</v>
      </c>
      <c r="U102" s="149">
        <f>AB102</f>
        <v>22738155</v>
      </c>
      <c r="W102" s="449">
        <f>SUM(X102:AA102)</f>
        <v>21840596.25</v>
      </c>
      <c r="X102" s="395">
        <f>H102*K102</f>
        <v>12460199.91</v>
      </c>
      <c r="Y102" s="612">
        <f>H102*L102</f>
        <v>2986895.0100000002</v>
      </c>
      <c r="Z102" s="395">
        <f>H102*M102</f>
        <v>6393501.3300000001</v>
      </c>
      <c r="AB102" s="449">
        <f>SUM(AC102:AF102)</f>
        <v>22738155</v>
      </c>
      <c r="AC102" s="395">
        <f>I102*K102</f>
        <v>12972262.92</v>
      </c>
      <c r="AD102" s="612">
        <f>I102*L102</f>
        <v>3109644.12</v>
      </c>
      <c r="AE102" s="395">
        <f>I102*M102</f>
        <v>6656247.96</v>
      </c>
    </row>
    <row r="103" spans="1:31" ht="96.6" x14ac:dyDescent="0.25">
      <c r="A103" s="826"/>
      <c r="B103" s="819"/>
      <c r="C103" s="22" t="s">
        <v>63</v>
      </c>
      <c r="D103" s="19" t="s">
        <v>24</v>
      </c>
      <c r="E103" s="705">
        <f>69+1</f>
        <v>70</v>
      </c>
      <c r="F103" s="690">
        <v>73</v>
      </c>
      <c r="G103" s="748">
        <v>73</v>
      </c>
      <c r="H103" s="748">
        <v>78</v>
      </c>
      <c r="I103" s="748">
        <v>73</v>
      </c>
      <c r="J103" s="384">
        <f>SUM(K103:M103)</f>
        <v>105712.05000000002</v>
      </c>
      <c r="K103" s="14">
        <f>60128.62+2750.57</f>
        <v>62879.19</v>
      </c>
      <c r="L103" s="14">
        <v>13638.79</v>
      </c>
      <c r="M103" s="478">
        <v>29194.07</v>
      </c>
      <c r="N103" s="498">
        <f>SUM(O103:R103)</f>
        <v>7716979.6500000004</v>
      </c>
      <c r="O103" s="498">
        <f>G103*K103</f>
        <v>4590180.87</v>
      </c>
      <c r="P103" s="14">
        <f>G103*L103</f>
        <v>995631.67</v>
      </c>
      <c r="Q103" s="498"/>
      <c r="R103" s="150">
        <f>G103*M103</f>
        <v>2131167.11</v>
      </c>
      <c r="S103" s="149"/>
      <c r="T103" s="149">
        <f>W103</f>
        <v>8245539.9000000004</v>
      </c>
      <c r="U103" s="149">
        <f>AB103</f>
        <v>7716979.6500000004</v>
      </c>
      <c r="W103" s="449">
        <f>SUM(X103:AA103)</f>
        <v>8245539.9000000004</v>
      </c>
      <c r="X103" s="395">
        <f>H103*K103</f>
        <v>4904576.82</v>
      </c>
      <c r="Y103" s="14">
        <f>H103*L103</f>
        <v>1063825.6200000001</v>
      </c>
      <c r="Z103" s="395">
        <f>H103*M103</f>
        <v>2277137.46</v>
      </c>
      <c r="AB103" s="449">
        <f>SUM(AC103:AF103)</f>
        <v>7716979.6500000004</v>
      </c>
      <c r="AC103" s="395">
        <f>I103*K103</f>
        <v>4590180.87</v>
      </c>
      <c r="AD103" s="14">
        <f>I103*L103</f>
        <v>995631.67</v>
      </c>
      <c r="AE103" s="395">
        <f>I103*M103</f>
        <v>2131167.11</v>
      </c>
    </row>
    <row r="104" spans="1:31" ht="82.8" x14ac:dyDescent="0.25">
      <c r="A104" s="826"/>
      <c r="B104" s="819"/>
      <c r="C104" s="405" t="s">
        <v>25</v>
      </c>
      <c r="D104" s="19" t="s">
        <v>24</v>
      </c>
      <c r="E104" s="10" t="s">
        <v>26</v>
      </c>
      <c r="F104" s="10" t="s">
        <v>26</v>
      </c>
      <c r="G104" s="11" t="s">
        <v>26</v>
      </c>
      <c r="H104" s="415" t="s">
        <v>26</v>
      </c>
      <c r="I104" s="415" t="s">
        <v>26</v>
      </c>
      <c r="J104" s="426" t="s">
        <v>26</v>
      </c>
      <c r="K104" s="426" t="s">
        <v>26</v>
      </c>
      <c r="L104" s="426" t="s">
        <v>26</v>
      </c>
      <c r="M104" s="415" t="s">
        <v>26</v>
      </c>
      <c r="N104" s="427"/>
      <c r="O104" s="427"/>
      <c r="P104" s="426" t="s">
        <v>26</v>
      </c>
      <c r="Q104" s="426"/>
      <c r="R104" s="415" t="s">
        <v>26</v>
      </c>
      <c r="S104" s="10"/>
      <c r="T104" s="149"/>
      <c r="U104" s="149"/>
    </row>
    <row r="105" spans="1:31" x14ac:dyDescent="0.25">
      <c r="A105" s="826"/>
      <c r="B105" s="819"/>
      <c r="C105" s="405" t="s">
        <v>57</v>
      </c>
      <c r="D105" s="19" t="s">
        <v>24</v>
      </c>
      <c r="E105" s="607">
        <f>1-1</f>
        <v>0</v>
      </c>
      <c r="F105" s="607">
        <f>1-1</f>
        <v>0</v>
      </c>
      <c r="G105" s="11">
        <v>0</v>
      </c>
      <c r="H105" s="444">
        <v>0</v>
      </c>
      <c r="I105" s="444">
        <v>0</v>
      </c>
      <c r="J105" s="150">
        <f>K105</f>
        <v>87898.44</v>
      </c>
      <c r="K105" s="150">
        <v>87898.44</v>
      </c>
      <c r="L105" s="426" t="s">
        <v>26</v>
      </c>
      <c r="M105" s="415" t="s">
        <v>26</v>
      </c>
      <c r="N105" s="427">
        <f>O105</f>
        <v>0</v>
      </c>
      <c r="O105" s="427">
        <f>G105*K105</f>
        <v>0</v>
      </c>
      <c r="P105" s="426" t="s">
        <v>26</v>
      </c>
      <c r="Q105" s="426"/>
      <c r="R105" s="415" t="s">
        <v>26</v>
      </c>
      <c r="S105" s="10"/>
      <c r="T105" s="149">
        <f>H105*K105</f>
        <v>0</v>
      </c>
      <c r="U105" s="149">
        <f>I105*K105</f>
        <v>0</v>
      </c>
    </row>
    <row r="106" spans="1:31" x14ac:dyDescent="0.25">
      <c r="A106" s="826"/>
      <c r="B106" s="819"/>
      <c r="C106" s="405" t="s">
        <v>27</v>
      </c>
      <c r="D106" s="19" t="s">
        <v>24</v>
      </c>
      <c r="E106" s="607">
        <f>1-1</f>
        <v>0</v>
      </c>
      <c r="F106" s="607">
        <f>1-1</f>
        <v>0</v>
      </c>
      <c r="G106" s="11">
        <v>0</v>
      </c>
      <c r="H106" s="444">
        <v>0</v>
      </c>
      <c r="I106" s="444">
        <v>0</v>
      </c>
      <c r="J106" s="150">
        <f>K106</f>
        <v>71944.38</v>
      </c>
      <c r="K106" s="150">
        <v>71944.38</v>
      </c>
      <c r="L106" s="426" t="s">
        <v>26</v>
      </c>
      <c r="M106" s="415" t="s">
        <v>26</v>
      </c>
      <c r="N106" s="427">
        <f>O106</f>
        <v>0</v>
      </c>
      <c r="O106" s="427">
        <f>G106*K106</f>
        <v>0</v>
      </c>
      <c r="P106" s="426" t="s">
        <v>26</v>
      </c>
      <c r="Q106" s="426"/>
      <c r="R106" s="415" t="s">
        <v>26</v>
      </c>
      <c r="S106" s="10"/>
      <c r="T106" s="149">
        <f>H106*K106</f>
        <v>0</v>
      </c>
      <c r="U106" s="149">
        <f>I106*K106</f>
        <v>0</v>
      </c>
    </row>
    <row r="107" spans="1:31" x14ac:dyDescent="0.25">
      <c r="A107" s="826"/>
      <c r="B107" s="819"/>
      <c r="C107" s="405" t="s">
        <v>29</v>
      </c>
      <c r="D107" s="19" t="s">
        <v>24</v>
      </c>
      <c r="E107" s="607"/>
      <c r="F107" s="607"/>
      <c r="G107" s="11">
        <v>0</v>
      </c>
      <c r="H107" s="444"/>
      <c r="I107" s="444"/>
      <c r="J107" s="150">
        <f>K107</f>
        <v>119806.54</v>
      </c>
      <c r="K107" s="150">
        <v>119806.54</v>
      </c>
      <c r="L107" s="426" t="s">
        <v>26</v>
      </c>
      <c r="M107" s="415" t="s">
        <v>26</v>
      </c>
      <c r="N107" s="427">
        <f>O107</f>
        <v>0</v>
      </c>
      <c r="O107" s="427">
        <f t="shared" ref="O107" si="36">G107*K107</f>
        <v>0</v>
      </c>
      <c r="P107" s="426" t="s">
        <v>26</v>
      </c>
      <c r="Q107" s="426"/>
      <c r="R107" s="415" t="s">
        <v>26</v>
      </c>
      <c r="S107" s="10"/>
      <c r="T107" s="149">
        <f>H107*K107</f>
        <v>0</v>
      </c>
      <c r="U107" s="149">
        <f>I107*K107</f>
        <v>0</v>
      </c>
    </row>
    <row r="108" spans="1:31" x14ac:dyDescent="0.25">
      <c r="A108" s="826"/>
      <c r="B108" s="819"/>
      <c r="C108" s="405" t="s">
        <v>34</v>
      </c>
      <c r="D108" s="19" t="s">
        <v>24</v>
      </c>
      <c r="E108" s="696">
        <f>2+2</f>
        <v>4</v>
      </c>
      <c r="F108" s="686">
        <v>5</v>
      </c>
      <c r="G108" s="11">
        <v>5</v>
      </c>
      <c r="H108" s="444">
        <v>12</v>
      </c>
      <c r="I108" s="444">
        <v>19</v>
      </c>
      <c r="J108" s="150">
        <f>K108</f>
        <v>18697.54</v>
      </c>
      <c r="K108" s="150">
        <v>18697.54</v>
      </c>
      <c r="L108" s="426" t="s">
        <v>26</v>
      </c>
      <c r="M108" s="415" t="s">
        <v>26</v>
      </c>
      <c r="N108" s="14">
        <f>O108</f>
        <v>93487.700000000012</v>
      </c>
      <c r="O108" s="427">
        <f>G108*K108</f>
        <v>93487.700000000012</v>
      </c>
      <c r="P108" s="426" t="s">
        <v>26</v>
      </c>
      <c r="Q108" s="426"/>
      <c r="R108" s="415" t="s">
        <v>26</v>
      </c>
      <c r="S108" s="10"/>
      <c r="T108" s="149">
        <f>H108*K108</f>
        <v>224370.48</v>
      </c>
      <c r="U108" s="149">
        <f>I108*K108</f>
        <v>355253.26</v>
      </c>
    </row>
    <row r="109" spans="1:31" ht="82.95" customHeight="1" x14ac:dyDescent="0.25">
      <c r="A109" s="826"/>
      <c r="B109" s="820"/>
      <c r="C109" s="405" t="s">
        <v>35</v>
      </c>
      <c r="D109" s="19" t="s">
        <v>24</v>
      </c>
      <c r="E109" s="607">
        <v>1</v>
      </c>
      <c r="F109" s="686">
        <v>1</v>
      </c>
      <c r="G109" s="11">
        <v>0</v>
      </c>
      <c r="H109" s="444">
        <v>1</v>
      </c>
      <c r="I109" s="444">
        <v>1</v>
      </c>
      <c r="J109" s="150">
        <f>SUM(K109:M109)</f>
        <v>547313.25</v>
      </c>
      <c r="K109" s="150">
        <f>501729.82+2750.57</f>
        <v>504480.39</v>
      </c>
      <c r="L109" s="14">
        <v>13638.79</v>
      </c>
      <c r="M109" s="478">
        <v>29194.07</v>
      </c>
      <c r="N109" s="395">
        <f>SUM(O109:R109)</f>
        <v>0</v>
      </c>
      <c r="O109" s="427">
        <f>G109*K109</f>
        <v>0</v>
      </c>
      <c r="P109" s="427">
        <f>G109*L109</f>
        <v>0</v>
      </c>
      <c r="Q109" s="395"/>
      <c r="R109" s="150">
        <f>G109*M109</f>
        <v>0</v>
      </c>
      <c r="S109" s="149"/>
      <c r="T109" s="149">
        <f>W109</f>
        <v>547313.25</v>
      </c>
      <c r="U109" s="149">
        <f>AB109</f>
        <v>547313.25</v>
      </c>
      <c r="W109" s="449">
        <f>SUM(X109:AA109)</f>
        <v>547313.25</v>
      </c>
      <c r="X109" s="395">
        <f>H109*K109</f>
        <v>504480.39</v>
      </c>
      <c r="Y109" s="14">
        <f>H109*L109</f>
        <v>13638.79</v>
      </c>
      <c r="Z109" s="395">
        <f>H109*M109</f>
        <v>29194.07</v>
      </c>
      <c r="AB109" s="449">
        <f>SUM(AC109:AF109)</f>
        <v>547313.25</v>
      </c>
      <c r="AC109" s="395">
        <f>I109*K109</f>
        <v>504480.39</v>
      </c>
      <c r="AD109" s="14">
        <f>I109*L109</f>
        <v>13638.79</v>
      </c>
      <c r="AE109" s="395">
        <f>I109*M109</f>
        <v>29194.07</v>
      </c>
    </row>
    <row r="110" spans="1:31" ht="13.95" customHeight="1" x14ac:dyDescent="0.25">
      <c r="A110" s="826"/>
      <c r="B110" s="402"/>
      <c r="C110" s="419" t="s">
        <v>58</v>
      </c>
      <c r="D110" s="19" t="s">
        <v>59</v>
      </c>
      <c r="E110" s="607">
        <v>11</v>
      </c>
      <c r="F110" s="607">
        <v>11</v>
      </c>
      <c r="G110" s="11">
        <v>11</v>
      </c>
      <c r="H110" s="444">
        <v>11</v>
      </c>
      <c r="I110" s="444">
        <v>11</v>
      </c>
      <c r="J110" s="150">
        <f>SUM(K110:M110)</f>
        <v>234360</v>
      </c>
      <c r="K110" s="150">
        <f>10000*1.5*1.302*12</f>
        <v>234360</v>
      </c>
      <c r="L110" s="384"/>
      <c r="M110" s="14"/>
      <c r="N110" s="150">
        <f>SUM(O110:R110)</f>
        <v>2577960</v>
      </c>
      <c r="O110" s="478">
        <f>G110*K110</f>
        <v>2577960</v>
      </c>
      <c r="P110" s="427"/>
      <c r="Q110" s="395"/>
      <c r="R110" s="150"/>
      <c r="S110" s="149"/>
      <c r="T110" s="149">
        <f>H110*K110-2577960</f>
        <v>0</v>
      </c>
      <c r="U110" s="149">
        <f>I110*K110-2577960</f>
        <v>0</v>
      </c>
    </row>
    <row r="111" spans="1:31" ht="18" customHeight="1" x14ac:dyDescent="0.25">
      <c r="A111" s="826"/>
      <c r="B111" s="402"/>
      <c r="C111" s="420" t="s">
        <v>38</v>
      </c>
      <c r="D111" s="19"/>
      <c r="E111" s="608">
        <f>E102+E103+E109</f>
        <v>301</v>
      </c>
      <c r="F111" s="695">
        <f>F102+F103+F109</f>
        <v>297</v>
      </c>
      <c r="G111" s="688">
        <f>G102+G103+G109</f>
        <v>295</v>
      </c>
      <c r="H111" s="760">
        <f>H102+H103+H109</f>
        <v>298</v>
      </c>
      <c r="I111" s="760">
        <f>I102+I103+I109</f>
        <v>302</v>
      </c>
      <c r="J111" s="395" t="s">
        <v>26</v>
      </c>
      <c r="K111" s="395" t="s">
        <v>26</v>
      </c>
      <c r="L111" s="395" t="s">
        <v>26</v>
      </c>
      <c r="M111" s="150" t="s">
        <v>26</v>
      </c>
      <c r="N111" s="153">
        <f t="shared" ref="N111:U111" si="37">SUM(N102:N110)</f>
        <v>32528209.849999998</v>
      </c>
      <c r="O111" s="153">
        <f t="shared" si="37"/>
        <v>19892516.149999999</v>
      </c>
      <c r="P111" s="153">
        <f t="shared" si="37"/>
        <v>4023443.0500000003</v>
      </c>
      <c r="Q111" s="153">
        <f t="shared" si="37"/>
        <v>0</v>
      </c>
      <c r="R111" s="646">
        <f t="shared" si="37"/>
        <v>8612250.6500000004</v>
      </c>
      <c r="S111" s="153">
        <f t="shared" si="37"/>
        <v>0</v>
      </c>
      <c r="T111" s="153">
        <f t="shared" si="37"/>
        <v>30857819.879999999</v>
      </c>
      <c r="U111" s="153">
        <f t="shared" si="37"/>
        <v>31357701.16</v>
      </c>
      <c r="W111" s="1" t="s">
        <v>569</v>
      </c>
    </row>
    <row r="112" spans="1:31" ht="73.2" customHeight="1" x14ac:dyDescent="0.25">
      <c r="A112" s="826"/>
      <c r="B112" s="818" t="s">
        <v>113</v>
      </c>
      <c r="C112" s="22" t="s">
        <v>23</v>
      </c>
      <c r="D112" s="19" t="s">
        <v>24</v>
      </c>
      <c r="E112" s="607">
        <v>51</v>
      </c>
      <c r="F112" s="686">
        <v>49</v>
      </c>
      <c r="G112" s="11">
        <v>48</v>
      </c>
      <c r="H112" s="444">
        <v>49</v>
      </c>
      <c r="I112" s="444">
        <v>52</v>
      </c>
      <c r="J112" s="384">
        <f>SUM(K112:M112)</f>
        <v>115704.37</v>
      </c>
      <c r="K112" s="14">
        <f>70145.11+2726.4</f>
        <v>72871.509999999995</v>
      </c>
      <c r="L112" s="14">
        <v>13638.79</v>
      </c>
      <c r="M112" s="478">
        <v>29194.07</v>
      </c>
      <c r="N112" s="150">
        <f>SUM(O112:R112)</f>
        <v>5553809.7599999998</v>
      </c>
      <c r="O112" s="395">
        <f>G112*K112</f>
        <v>3497832.4799999995</v>
      </c>
      <c r="P112" s="14">
        <f>G112*L112</f>
        <v>654661.92000000004</v>
      </c>
      <c r="Q112" s="395"/>
      <c r="R112" s="150">
        <f>G112*M112</f>
        <v>1401315.3599999999</v>
      </c>
      <c r="S112" s="149"/>
      <c r="T112" s="149">
        <f>W112</f>
        <v>5669514.1299999999</v>
      </c>
      <c r="U112" s="149">
        <f>T112</f>
        <v>5669514.1299999999</v>
      </c>
      <c r="W112" s="449">
        <f>SUM(X112:AA112)</f>
        <v>5669514.1299999999</v>
      </c>
      <c r="X112" s="395">
        <f>H112*K112</f>
        <v>3570703.9899999998</v>
      </c>
      <c r="Y112" s="612">
        <f>H112*L112</f>
        <v>668300.71000000008</v>
      </c>
      <c r="Z112" s="395">
        <f>H112*M112</f>
        <v>1430509.43</v>
      </c>
    </row>
    <row r="113" spans="1:31" ht="82.8" x14ac:dyDescent="0.25">
      <c r="A113" s="826"/>
      <c r="B113" s="819"/>
      <c r="C113" s="405" t="s">
        <v>25</v>
      </c>
      <c r="D113" s="19" t="s">
        <v>24</v>
      </c>
      <c r="E113" s="11" t="s">
        <v>26</v>
      </c>
      <c r="F113" s="11" t="s">
        <v>26</v>
      </c>
      <c r="G113" s="11" t="s">
        <v>26</v>
      </c>
      <c r="H113" s="415" t="s">
        <v>26</v>
      </c>
      <c r="I113" s="415" t="s">
        <v>26</v>
      </c>
      <c r="J113" s="426" t="s">
        <v>26</v>
      </c>
      <c r="K113" s="426" t="s">
        <v>26</v>
      </c>
      <c r="L113" s="426" t="s">
        <v>26</v>
      </c>
      <c r="M113" s="415" t="s">
        <v>26</v>
      </c>
      <c r="N113" s="427"/>
      <c r="O113" s="427"/>
      <c r="P113" s="426" t="s">
        <v>26</v>
      </c>
      <c r="Q113" s="426"/>
      <c r="R113" s="415" t="s">
        <v>26</v>
      </c>
      <c r="S113" s="10"/>
      <c r="T113" s="149"/>
      <c r="U113" s="149"/>
    </row>
    <row r="114" spans="1:31" x14ac:dyDescent="0.25">
      <c r="A114" s="826"/>
      <c r="B114" s="819"/>
      <c r="C114" s="405" t="s">
        <v>57</v>
      </c>
      <c r="D114" s="19" t="s">
        <v>24</v>
      </c>
      <c r="E114" s="11">
        <f>1-1</f>
        <v>0</v>
      </c>
      <c r="F114" s="11">
        <f>1-1</f>
        <v>0</v>
      </c>
      <c r="G114" s="613">
        <v>0</v>
      </c>
      <c r="H114" s="415">
        <f>1-1</f>
        <v>0</v>
      </c>
      <c r="I114" s="415">
        <f>1-1</f>
        <v>0</v>
      </c>
      <c r="J114" s="150">
        <f>K114</f>
        <v>90668.479999999996</v>
      </c>
      <c r="K114" s="14">
        <v>90668.479999999996</v>
      </c>
      <c r="L114" s="426" t="s">
        <v>26</v>
      </c>
      <c r="M114" s="415" t="s">
        <v>26</v>
      </c>
      <c r="N114" s="427">
        <f>O114</f>
        <v>0</v>
      </c>
      <c r="O114" s="427">
        <f>G114*K114</f>
        <v>0</v>
      </c>
      <c r="P114" s="426" t="s">
        <v>26</v>
      </c>
      <c r="Q114" s="426"/>
      <c r="R114" s="415" t="s">
        <v>26</v>
      </c>
      <c r="S114" s="10"/>
      <c r="T114" s="149">
        <f>H114*K114</f>
        <v>0</v>
      </c>
      <c r="U114" s="149">
        <f>I114*K114</f>
        <v>0</v>
      </c>
    </row>
    <row r="115" spans="1:31" x14ac:dyDescent="0.25">
      <c r="A115" s="826"/>
      <c r="B115" s="819"/>
      <c r="C115" s="405" t="s">
        <v>29</v>
      </c>
      <c r="D115" s="19" t="s">
        <v>24</v>
      </c>
      <c r="E115" s="411"/>
      <c r="F115" s="411"/>
      <c r="G115" s="10">
        <v>0</v>
      </c>
      <c r="H115" s="412">
        <v>0</v>
      </c>
      <c r="I115" s="412">
        <v>0</v>
      </c>
      <c r="J115" s="150">
        <f>K115</f>
        <v>122576.58</v>
      </c>
      <c r="K115" s="150">
        <v>122576.58</v>
      </c>
      <c r="L115" s="426" t="s">
        <v>26</v>
      </c>
      <c r="M115" s="415" t="s">
        <v>26</v>
      </c>
      <c r="N115" s="427">
        <f>O115</f>
        <v>0</v>
      </c>
      <c r="O115" s="427">
        <f>G115*K115</f>
        <v>0</v>
      </c>
      <c r="P115" s="426" t="s">
        <v>26</v>
      </c>
      <c r="Q115" s="426" t="s">
        <v>26</v>
      </c>
      <c r="R115" s="415" t="s">
        <v>26</v>
      </c>
      <c r="S115" s="10"/>
      <c r="T115" s="149">
        <f>H115*K115</f>
        <v>0</v>
      </c>
      <c r="U115" s="149">
        <f>I115*K115</f>
        <v>0</v>
      </c>
    </row>
    <row r="116" spans="1:31" x14ac:dyDescent="0.25">
      <c r="A116" s="826"/>
      <c r="B116" s="819"/>
      <c r="C116" s="405" t="s">
        <v>34</v>
      </c>
      <c r="D116" s="19" t="s">
        <v>24</v>
      </c>
      <c r="E116" s="411"/>
      <c r="F116" s="411"/>
      <c r="G116" s="11">
        <v>0</v>
      </c>
      <c r="H116" s="412"/>
      <c r="I116" s="412"/>
      <c r="J116" s="150">
        <f>K116</f>
        <v>18697.54</v>
      </c>
      <c r="K116" s="150">
        <v>18697.54</v>
      </c>
      <c r="L116" s="426" t="s">
        <v>26</v>
      </c>
      <c r="M116" s="479">
        <v>29194.07</v>
      </c>
      <c r="N116" s="427">
        <f>O116</f>
        <v>0</v>
      </c>
      <c r="O116" s="427">
        <f>G116*K116</f>
        <v>0</v>
      </c>
      <c r="P116" s="426" t="s">
        <v>26</v>
      </c>
      <c r="Q116" s="426"/>
      <c r="R116" s="415" t="s">
        <v>26</v>
      </c>
      <c r="S116" s="10"/>
      <c r="T116" s="149">
        <f>H116*K116</f>
        <v>0</v>
      </c>
      <c r="U116" s="149">
        <f>I116*K116</f>
        <v>0</v>
      </c>
    </row>
    <row r="117" spans="1:31" ht="82.95" customHeight="1" x14ac:dyDescent="0.25">
      <c r="A117" s="826"/>
      <c r="B117" s="820"/>
      <c r="C117" s="405" t="s">
        <v>35</v>
      </c>
      <c r="D117" s="19" t="s">
        <v>24</v>
      </c>
      <c r="E117" s="411"/>
      <c r="F117" s="411"/>
      <c r="G117" s="10">
        <v>0</v>
      </c>
      <c r="H117" s="412">
        <v>0</v>
      </c>
      <c r="I117" s="412">
        <v>0</v>
      </c>
      <c r="J117" s="150">
        <f>SUM(K117:M117)</f>
        <v>602690.06000000006</v>
      </c>
      <c r="K117" s="150">
        <f>557130.8+2726.4</f>
        <v>559857.20000000007</v>
      </c>
      <c r="L117" s="14">
        <v>13638.79</v>
      </c>
      <c r="M117" s="479">
        <v>29194.07</v>
      </c>
      <c r="N117" s="395">
        <f>SUM(O117:R117)</f>
        <v>0</v>
      </c>
      <c r="O117" s="427">
        <f>G117*K117</f>
        <v>0</v>
      </c>
      <c r="P117" s="427">
        <f>G117*L117</f>
        <v>0</v>
      </c>
      <c r="Q117" s="395"/>
      <c r="R117" s="150">
        <f>G117*M117</f>
        <v>0</v>
      </c>
      <c r="S117" s="396"/>
      <c r="T117" s="149">
        <f>W117</f>
        <v>0</v>
      </c>
      <c r="U117" s="149">
        <f>AB117</f>
        <v>0</v>
      </c>
      <c r="W117" s="449">
        <f>SUM(X117:AA117)</f>
        <v>0</v>
      </c>
      <c r="X117" s="395">
        <f>H117*K117</f>
        <v>0</v>
      </c>
      <c r="Y117" s="14">
        <f>H117*L117</f>
        <v>0</v>
      </c>
      <c r="Z117" s="395">
        <f>H117*M117</f>
        <v>0</v>
      </c>
      <c r="AB117" s="449">
        <f>SUM(AC117:AF117)</f>
        <v>0</v>
      </c>
      <c r="AC117" s="395">
        <f>I117*K117</f>
        <v>0</v>
      </c>
      <c r="AD117" s="14">
        <f>I117*L117</f>
        <v>0</v>
      </c>
      <c r="AE117" s="395">
        <f>I117*M117</f>
        <v>0</v>
      </c>
    </row>
    <row r="118" spans="1:31" ht="13.95" customHeight="1" x14ac:dyDescent="0.25">
      <c r="A118" s="826"/>
      <c r="B118" s="402"/>
      <c r="C118" s="419" t="s">
        <v>58</v>
      </c>
      <c r="D118" s="19" t="s">
        <v>59</v>
      </c>
      <c r="E118" s="607">
        <v>2</v>
      </c>
      <c r="F118" s="607">
        <v>2</v>
      </c>
      <c r="G118" s="11">
        <v>2</v>
      </c>
      <c r="H118" s="444">
        <v>2</v>
      </c>
      <c r="I118" s="444">
        <v>2</v>
      </c>
      <c r="J118" s="150">
        <f>SUM(K118:M118)</f>
        <v>234360</v>
      </c>
      <c r="K118" s="150">
        <f>10000*1.5*1.302*12</f>
        <v>234360</v>
      </c>
      <c r="L118" s="384"/>
      <c r="M118" s="14"/>
      <c r="N118" s="449">
        <f>SUM(O118:R118)</f>
        <v>468720</v>
      </c>
      <c r="O118" s="478">
        <f>G118*K118</f>
        <v>468720</v>
      </c>
      <c r="P118" s="427"/>
      <c r="Q118" s="395"/>
      <c r="R118" s="150"/>
      <c r="S118" s="396"/>
      <c r="T118" s="149">
        <f>H118*K118-468720</f>
        <v>0</v>
      </c>
      <c r="U118" s="149">
        <f>I118*K118-468720</f>
        <v>0</v>
      </c>
    </row>
    <row r="119" spans="1:31" ht="22.2" customHeight="1" x14ac:dyDescent="0.25">
      <c r="A119" s="826"/>
      <c r="B119" s="402"/>
      <c r="C119" s="420" t="s">
        <v>38</v>
      </c>
      <c r="D119" s="19"/>
      <c r="E119" s="607">
        <f>E112+E117</f>
        <v>51</v>
      </c>
      <c r="F119" s="695">
        <f>F112+F117</f>
        <v>49</v>
      </c>
      <c r="G119" s="688">
        <f>G112+G117</f>
        <v>48</v>
      </c>
      <c r="H119" s="760">
        <f>H112+H117</f>
        <v>49</v>
      </c>
      <c r="I119" s="760">
        <f>I112+I117</f>
        <v>52</v>
      </c>
      <c r="J119" s="395" t="s">
        <v>26</v>
      </c>
      <c r="K119" s="395" t="s">
        <v>26</v>
      </c>
      <c r="L119" s="395" t="s">
        <v>26</v>
      </c>
      <c r="M119" s="150" t="s">
        <v>26</v>
      </c>
      <c r="N119" s="153">
        <f>SUM(N112:N118)</f>
        <v>6022529.7599999998</v>
      </c>
      <c r="O119" s="153">
        <f t="shared" ref="O119:U119" si="38">SUM(O112:O118)</f>
        <v>3966552.4799999995</v>
      </c>
      <c r="P119" s="153">
        <f t="shared" si="38"/>
        <v>654661.92000000004</v>
      </c>
      <c r="Q119" s="153">
        <f t="shared" si="38"/>
        <v>0</v>
      </c>
      <c r="R119" s="646">
        <f>SUM(R112:R118)</f>
        <v>1401315.3599999999</v>
      </c>
      <c r="S119" s="153">
        <f t="shared" si="38"/>
        <v>0</v>
      </c>
      <c r="T119" s="153">
        <f t="shared" si="38"/>
        <v>5669514.1299999999</v>
      </c>
      <c r="U119" s="153">
        <f t="shared" si="38"/>
        <v>5669514.1299999999</v>
      </c>
      <c r="X119" s="25"/>
    </row>
    <row r="120" spans="1:31" ht="56.4" customHeight="1" x14ac:dyDescent="0.25">
      <c r="A120" s="826"/>
      <c r="B120" s="823" t="s">
        <v>115</v>
      </c>
      <c r="C120" s="821" t="s">
        <v>41</v>
      </c>
      <c r="D120" s="19" t="s">
        <v>24</v>
      </c>
      <c r="E120" s="696">
        <f>1554+194+235-202</f>
        <v>1781</v>
      </c>
      <c r="F120" s="686">
        <f>1554+194+33</f>
        <v>1781</v>
      </c>
      <c r="G120" s="788">
        <v>1781</v>
      </c>
      <c r="H120" s="444">
        <v>1781</v>
      </c>
      <c r="I120" s="444">
        <v>1781</v>
      </c>
      <c r="J120" s="150">
        <f>K120</f>
        <v>5125.76</v>
      </c>
      <c r="K120" s="150">
        <v>5125.76</v>
      </c>
      <c r="L120" s="150" t="s">
        <v>26</v>
      </c>
      <c r="M120" s="150" t="s">
        <v>26</v>
      </c>
      <c r="N120" s="395">
        <f>SUM(O120:R120)</f>
        <v>9128978.5600000005</v>
      </c>
      <c r="O120" s="395">
        <f>G120*K120</f>
        <v>9128978.5600000005</v>
      </c>
      <c r="P120" s="395" t="s">
        <v>26</v>
      </c>
      <c r="Q120" s="395"/>
      <c r="R120" s="150" t="s">
        <v>26</v>
      </c>
      <c r="S120" s="396"/>
      <c r="T120" s="149">
        <f>H120*K120</f>
        <v>9128978.5600000005</v>
      </c>
      <c r="U120" s="149">
        <f>I120*K120</f>
        <v>9128978.5600000005</v>
      </c>
    </row>
    <row r="121" spans="1:31" ht="43.2" customHeight="1" x14ac:dyDescent="0.25">
      <c r="A121" s="826"/>
      <c r="B121" s="824"/>
      <c r="C121" s="822"/>
      <c r="D121" s="433" t="s">
        <v>235</v>
      </c>
      <c r="E121" s="700">
        <f>95983-1214</f>
        <v>94769</v>
      </c>
      <c r="F121" s="701">
        <v>95983</v>
      </c>
      <c r="G121" s="699">
        <v>98965</v>
      </c>
      <c r="H121" s="704">
        <v>98965</v>
      </c>
      <c r="I121" s="704">
        <v>98965</v>
      </c>
      <c r="J121" s="394">
        <f>K121</f>
        <v>92.244516344162079</v>
      </c>
      <c r="K121" s="394">
        <f>N121/G121</f>
        <v>92.244516344162079</v>
      </c>
      <c r="L121" s="394" t="s">
        <v>26</v>
      </c>
      <c r="M121" s="394" t="s">
        <v>26</v>
      </c>
      <c r="N121" s="393">
        <f>N120</f>
        <v>9128978.5600000005</v>
      </c>
      <c r="O121" s="393">
        <f>O120</f>
        <v>9128978.5600000005</v>
      </c>
      <c r="P121" s="393" t="s">
        <v>26</v>
      </c>
      <c r="Q121" s="393"/>
      <c r="R121" s="394" t="s">
        <v>26</v>
      </c>
      <c r="S121" s="393"/>
      <c r="T121" s="394">
        <f>T120/G121*H121</f>
        <v>9128978.5600000005</v>
      </c>
      <c r="U121" s="394">
        <f>U120/G121*I121</f>
        <v>9128978.5600000005</v>
      </c>
    </row>
    <row r="122" spans="1:31" ht="20.399999999999999" customHeight="1" x14ac:dyDescent="0.25">
      <c r="A122" s="826"/>
      <c r="B122" s="390"/>
      <c r="C122" s="420" t="s">
        <v>38</v>
      </c>
      <c r="D122" s="409"/>
      <c r="E122" s="607">
        <f>SUM(E120:E120)</f>
        <v>1781</v>
      </c>
      <c r="F122" s="607">
        <f>SUM(F120:F120)</f>
        <v>1781</v>
      </c>
      <c r="G122" s="607">
        <f>SUM(G120:G120)</f>
        <v>1781</v>
      </c>
      <c r="H122" s="444">
        <f>SUM(H120:H120)</f>
        <v>1781</v>
      </c>
      <c r="I122" s="444">
        <f>SUM(I120:I120)</f>
        <v>1781</v>
      </c>
      <c r="J122" s="395" t="s">
        <v>26</v>
      </c>
      <c r="K122" s="395" t="s">
        <v>26</v>
      </c>
      <c r="L122" s="395" t="s">
        <v>26</v>
      </c>
      <c r="M122" s="150">
        <f t="shared" ref="M122:R122" si="39">SUM(M120:M120)</f>
        <v>0</v>
      </c>
      <c r="N122" s="153">
        <f t="shared" si="39"/>
        <v>9128978.5600000005</v>
      </c>
      <c r="O122" s="395">
        <f>SUM(O120:O120)</f>
        <v>9128978.5600000005</v>
      </c>
      <c r="P122" s="395">
        <f t="shared" si="39"/>
        <v>0</v>
      </c>
      <c r="Q122" s="395"/>
      <c r="R122" s="150">
        <f t="shared" si="39"/>
        <v>0</v>
      </c>
      <c r="S122" s="396"/>
      <c r="T122" s="149">
        <f>T120</f>
        <v>9128978.5600000005</v>
      </c>
      <c r="U122" s="149">
        <f>U120</f>
        <v>9128978.5600000005</v>
      </c>
    </row>
    <row r="123" spans="1:31" ht="27.6" x14ac:dyDescent="0.25">
      <c r="A123" s="826"/>
      <c r="B123" s="408" t="s">
        <v>45</v>
      </c>
      <c r="C123" s="27" t="s">
        <v>44</v>
      </c>
      <c r="D123" s="410" t="s">
        <v>46</v>
      </c>
      <c r="E123" s="607">
        <f>8-8</f>
        <v>0</v>
      </c>
      <c r="F123" s="607">
        <f>8-8</f>
        <v>0</v>
      </c>
      <c r="G123" s="11">
        <v>0</v>
      </c>
      <c r="H123" s="444">
        <f>8-8</f>
        <v>0</v>
      </c>
      <c r="I123" s="444">
        <f>8-8</f>
        <v>0</v>
      </c>
      <c r="J123" s="395"/>
      <c r="K123" s="395"/>
      <c r="L123" s="150">
        <v>263700.28000000003</v>
      </c>
      <c r="M123" s="150"/>
      <c r="N123" s="395">
        <f>P123</f>
        <v>0</v>
      </c>
      <c r="O123" s="395"/>
      <c r="P123" s="395">
        <f>G123*L123</f>
        <v>0</v>
      </c>
      <c r="Q123" s="395"/>
      <c r="R123" s="150"/>
      <c r="S123" s="396"/>
      <c r="T123" s="149">
        <f>H123*L123</f>
        <v>0</v>
      </c>
      <c r="U123" s="149">
        <f>I123*L123</f>
        <v>0</v>
      </c>
    </row>
    <row r="124" spans="1:31" ht="27.6" x14ac:dyDescent="0.25">
      <c r="A124" s="826"/>
      <c r="B124" s="408" t="s">
        <v>45</v>
      </c>
      <c r="C124" s="27" t="s">
        <v>44</v>
      </c>
      <c r="D124" s="410" t="s">
        <v>46</v>
      </c>
      <c r="E124" s="607">
        <f>1+9</f>
        <v>10</v>
      </c>
      <c r="F124" s="607">
        <f>1+9</f>
        <v>10</v>
      </c>
      <c r="G124" s="11">
        <v>10</v>
      </c>
      <c r="H124" s="444">
        <f>1+9</f>
        <v>10</v>
      </c>
      <c r="I124" s="444">
        <f>1+9</f>
        <v>10</v>
      </c>
      <c r="J124" s="395"/>
      <c r="K124" s="395"/>
      <c r="L124" s="150">
        <v>316440.09999999998</v>
      </c>
      <c r="M124" s="150"/>
      <c r="N124" s="395">
        <f>P124</f>
        <v>3164401</v>
      </c>
      <c r="O124" s="395"/>
      <c r="P124" s="395">
        <f>G124*L124</f>
        <v>3164401</v>
      </c>
      <c r="Q124" s="395"/>
      <c r="R124" s="150"/>
      <c r="S124" s="396"/>
      <c r="T124" s="149">
        <f>H124*L124</f>
        <v>3164401</v>
      </c>
      <c r="U124" s="149">
        <f>I124*L124</f>
        <v>3164401</v>
      </c>
    </row>
    <row r="125" spans="1:31" hidden="1" x14ac:dyDescent="0.25">
      <c r="A125" s="826"/>
      <c r="B125" s="407" t="s">
        <v>53</v>
      </c>
      <c r="C125" s="27" t="s">
        <v>44</v>
      </c>
      <c r="D125" s="19" t="s">
        <v>24</v>
      </c>
      <c r="E125" s="607">
        <v>1</v>
      </c>
      <c r="F125" s="607">
        <v>1</v>
      </c>
      <c r="G125" s="607">
        <v>1</v>
      </c>
      <c r="H125" s="444">
        <v>1</v>
      </c>
      <c r="I125" s="444">
        <v>1</v>
      </c>
      <c r="J125" s="395"/>
      <c r="K125" s="395"/>
      <c r="L125" s="395"/>
      <c r="M125" s="150"/>
      <c r="N125" s="395">
        <f>Q125</f>
        <v>0</v>
      </c>
      <c r="O125" s="395"/>
      <c r="P125" s="395"/>
      <c r="Q125" s="395"/>
      <c r="R125" s="150"/>
      <c r="S125" s="396"/>
      <c r="T125" s="149"/>
      <c r="U125" s="149">
        <f t="shared" ref="U125:U128" si="40">T125</f>
        <v>0</v>
      </c>
      <c r="V125" s="25"/>
      <c r="W125" s="25"/>
    </row>
    <row r="126" spans="1:31" ht="13.95" hidden="1" customHeight="1" x14ac:dyDescent="0.25">
      <c r="A126" s="826"/>
      <c r="B126" s="407" t="s">
        <v>55</v>
      </c>
      <c r="C126" s="27" t="s">
        <v>54</v>
      </c>
      <c r="D126" s="19"/>
      <c r="E126" s="607"/>
      <c r="F126" s="607"/>
      <c r="G126" s="607"/>
      <c r="H126" s="444"/>
      <c r="I126" s="444"/>
      <c r="J126" s="395"/>
      <c r="K126" s="395"/>
      <c r="L126" s="395"/>
      <c r="M126" s="150"/>
      <c r="N126" s="395">
        <f>O126+P126+Q126+R126+S126</f>
        <v>0</v>
      </c>
      <c r="O126" s="395"/>
      <c r="P126" s="395"/>
      <c r="Q126" s="395"/>
      <c r="R126" s="150"/>
      <c r="S126" s="396"/>
      <c r="T126" s="149"/>
      <c r="U126" s="149"/>
    </row>
    <row r="127" spans="1:31" ht="19.2" customHeight="1" x14ac:dyDescent="0.25">
      <c r="A127" s="826"/>
      <c r="B127" s="407" t="s">
        <v>47</v>
      </c>
      <c r="C127" s="27" t="s">
        <v>44</v>
      </c>
      <c r="D127" s="19"/>
      <c r="E127" s="607">
        <v>21</v>
      </c>
      <c r="F127" s="607">
        <v>21</v>
      </c>
      <c r="G127" s="607">
        <v>21</v>
      </c>
      <c r="H127" s="444">
        <v>21</v>
      </c>
      <c r="I127" s="444">
        <v>21</v>
      </c>
      <c r="J127" s="395"/>
      <c r="K127" s="395"/>
      <c r="L127" s="395"/>
      <c r="M127" s="150"/>
      <c r="N127" s="449">
        <f>SUM(O127:R127)</f>
        <v>4921560</v>
      </c>
      <c r="O127" s="150">
        <f>O118+O110+O100</f>
        <v>4921560</v>
      </c>
      <c r="P127" s="395"/>
      <c r="Q127" s="395"/>
      <c r="R127" s="150"/>
      <c r="S127" s="396"/>
      <c r="T127" s="149">
        <f>T118+T110+T100</f>
        <v>0</v>
      </c>
      <c r="U127" s="149">
        <f>U118+U110+U100</f>
        <v>0</v>
      </c>
    </row>
    <row r="128" spans="1:31" ht="13.95" hidden="1" customHeight="1" x14ac:dyDescent="0.25">
      <c r="A128" s="826"/>
      <c r="B128" s="407" t="s">
        <v>48</v>
      </c>
      <c r="C128" s="28" t="s">
        <v>44</v>
      </c>
      <c r="D128" s="19"/>
      <c r="E128" s="607"/>
      <c r="F128" s="607"/>
      <c r="G128" s="607"/>
      <c r="H128" s="444"/>
      <c r="I128" s="444"/>
      <c r="J128" s="395"/>
      <c r="K128" s="395"/>
      <c r="L128" s="395"/>
      <c r="M128" s="150"/>
      <c r="N128" s="395">
        <f>O128+P128+Q128+R128+S128</f>
        <v>0</v>
      </c>
      <c r="O128" s="395"/>
      <c r="P128" s="395"/>
      <c r="Q128" s="395"/>
      <c r="R128" s="150"/>
      <c r="S128" s="396"/>
      <c r="T128" s="149">
        <f>O128</f>
        <v>0</v>
      </c>
      <c r="U128" s="149">
        <f t="shared" si="40"/>
        <v>0</v>
      </c>
    </row>
    <row r="129" spans="1:31" ht="13.95" hidden="1" customHeight="1" x14ac:dyDescent="0.25">
      <c r="A129" s="826"/>
      <c r="B129" s="407" t="s">
        <v>49</v>
      </c>
      <c r="C129" s="28" t="s">
        <v>44</v>
      </c>
      <c r="D129" s="19"/>
      <c r="E129" s="607"/>
      <c r="F129" s="607"/>
      <c r="G129" s="607"/>
      <c r="H129" s="444"/>
      <c r="I129" s="444"/>
      <c r="J129" s="395"/>
      <c r="K129" s="395"/>
      <c r="L129" s="395"/>
      <c r="M129" s="150"/>
      <c r="N129" s="395">
        <f>P129</f>
        <v>0</v>
      </c>
      <c r="O129" s="395"/>
      <c r="P129" s="395"/>
      <c r="Q129" s="395"/>
      <c r="R129" s="150"/>
      <c r="S129" s="396"/>
      <c r="T129" s="149"/>
      <c r="U129" s="149">
        <f>T129</f>
        <v>0</v>
      </c>
    </row>
    <row r="130" spans="1:31" ht="23.4" customHeight="1" x14ac:dyDescent="0.25">
      <c r="A130" s="826"/>
      <c r="B130" s="423" t="s">
        <v>50</v>
      </c>
      <c r="C130" s="409"/>
      <c r="D130" s="409"/>
      <c r="E130" s="608">
        <f>E101+E111+E119</f>
        <v>573</v>
      </c>
      <c r="F130" s="703">
        <f>F101+F111+F119</f>
        <v>555</v>
      </c>
      <c r="G130" s="688">
        <f>G101+G111+G119</f>
        <v>554</v>
      </c>
      <c r="H130" s="760">
        <f>H101+H111+H119</f>
        <v>557</v>
      </c>
      <c r="I130" s="760">
        <f>I101+I111+I119</f>
        <v>560</v>
      </c>
      <c r="J130" s="413"/>
      <c r="K130" s="413"/>
      <c r="L130" s="413"/>
      <c r="M130" s="153"/>
      <c r="N130" s="413">
        <f>SUM(O130:S130)</f>
        <v>76064358.640000001</v>
      </c>
      <c r="O130" s="413">
        <f>O101+O111+O119+O122+O128</f>
        <v>49170553.199999996</v>
      </c>
      <c r="P130" s="153">
        <f>P101+P111+P119+P122+P123+P124+P125+P129</f>
        <v>10720290.66</v>
      </c>
      <c r="Q130" s="413">
        <f>Q101+Q111+Q119+Q122+Q123+Q124+Q125</f>
        <v>0</v>
      </c>
      <c r="R130" s="646">
        <f>R101+R111+R119+R122+R123+R124+R125+R126</f>
        <v>16173514.780000001</v>
      </c>
      <c r="S130" s="422">
        <f>S101+S111+S119+S122+S123+S124+S125+S126</f>
        <v>0</v>
      </c>
      <c r="T130" s="422">
        <f>T101+T111+T119+T122+T123+T124+T125+T126+T128+T129</f>
        <v>71593288.439999998</v>
      </c>
      <c r="U130" s="422">
        <f>U101+U111+U119+U122+U123+U124+U125+U126+U128+U129</f>
        <v>71767481.599999994</v>
      </c>
      <c r="V130" s="25"/>
      <c r="W130" s="1" t="s">
        <v>569</v>
      </c>
      <c r="AA130" s="25"/>
      <c r="AB130" s="25"/>
    </row>
    <row r="131" spans="1:31" ht="75" customHeight="1" x14ac:dyDescent="0.25">
      <c r="A131" s="815" t="s">
        <v>60</v>
      </c>
      <c r="B131" s="818" t="s">
        <v>112</v>
      </c>
      <c r="C131" s="22" t="s">
        <v>23</v>
      </c>
      <c r="D131" s="19" t="s">
        <v>24</v>
      </c>
      <c r="E131" s="415">
        <v>206</v>
      </c>
      <c r="F131" s="415">
        <f>206-15</f>
        <v>191</v>
      </c>
      <c r="G131" s="415">
        <f>153+40</f>
        <v>193</v>
      </c>
      <c r="H131" s="415">
        <f>153+40</f>
        <v>193</v>
      </c>
      <c r="I131" s="415">
        <f>153+40</f>
        <v>193</v>
      </c>
      <c r="J131" s="384">
        <f>SUM(K131:M131)</f>
        <v>82051.01999999999</v>
      </c>
      <c r="K131" s="14">
        <f>36390.31+2198.86</f>
        <v>38589.17</v>
      </c>
      <c r="L131" s="14">
        <v>14267.78</v>
      </c>
      <c r="M131" s="479">
        <v>29194.07</v>
      </c>
      <c r="N131" s="478">
        <f>SUM(O131:R131)</f>
        <v>15835846.859999999</v>
      </c>
      <c r="O131" s="427">
        <f>G131*K131</f>
        <v>7447709.8099999996</v>
      </c>
      <c r="P131" s="427">
        <f>G131*L131</f>
        <v>2753681.54</v>
      </c>
      <c r="Q131" s="427"/>
      <c r="R131" s="150">
        <f>G131*M131</f>
        <v>5634455.5099999998</v>
      </c>
      <c r="S131" s="149"/>
      <c r="T131" s="149">
        <f>W131</f>
        <v>15835846.859999999</v>
      </c>
      <c r="U131" s="149">
        <f>AB131</f>
        <v>15835846.859999999</v>
      </c>
      <c r="W131" s="449">
        <f>SUM(X131:AA131)</f>
        <v>15835846.859999999</v>
      </c>
      <c r="X131" s="395">
        <f>H131*K131</f>
        <v>7447709.8099999996</v>
      </c>
      <c r="Y131" s="493">
        <f>H131*L131</f>
        <v>2753681.54</v>
      </c>
      <c r="Z131" s="395">
        <f>H131*M131</f>
        <v>5634455.5099999998</v>
      </c>
      <c r="AB131" s="449">
        <f>SUM(AC131:AF131)</f>
        <v>15835846.859999999</v>
      </c>
      <c r="AC131" s="395">
        <f>I131*K131</f>
        <v>7447709.8099999996</v>
      </c>
      <c r="AD131" s="780">
        <f>I131*L131</f>
        <v>2753681.54</v>
      </c>
      <c r="AE131" s="395">
        <f>I131*M131</f>
        <v>5634455.5099999998</v>
      </c>
    </row>
    <row r="132" spans="1:31" ht="89.4" customHeight="1" x14ac:dyDescent="0.25">
      <c r="A132" s="816"/>
      <c r="B132" s="819"/>
      <c r="C132" s="22" t="s">
        <v>25</v>
      </c>
      <c r="D132" s="19" t="s">
        <v>24</v>
      </c>
      <c r="E132" s="11" t="s">
        <v>26</v>
      </c>
      <c r="F132" s="11" t="s">
        <v>26</v>
      </c>
      <c r="G132" s="11" t="s">
        <v>26</v>
      </c>
      <c r="H132" s="415" t="s">
        <v>26</v>
      </c>
      <c r="I132" s="415" t="s">
        <v>26</v>
      </c>
      <c r="J132" s="426" t="s">
        <v>26</v>
      </c>
      <c r="K132" s="426" t="s">
        <v>26</v>
      </c>
      <c r="L132" s="426" t="s">
        <v>26</v>
      </c>
      <c r="M132" s="415" t="s">
        <v>26</v>
      </c>
      <c r="N132" s="427"/>
      <c r="O132" s="427"/>
      <c r="P132" s="426" t="s">
        <v>26</v>
      </c>
      <c r="Q132" s="426"/>
      <c r="R132" s="415" t="s">
        <v>26</v>
      </c>
      <c r="S132" s="10"/>
      <c r="T132" s="149"/>
      <c r="U132" s="149"/>
    </row>
    <row r="133" spans="1:31" x14ac:dyDescent="0.25">
      <c r="A133" s="816"/>
      <c r="B133" s="819"/>
      <c r="C133" s="385" t="s">
        <v>27</v>
      </c>
      <c r="D133" s="19" t="s">
        <v>24</v>
      </c>
      <c r="E133" s="11"/>
      <c r="F133" s="11">
        <v>1</v>
      </c>
      <c r="G133" s="11">
        <v>1</v>
      </c>
      <c r="H133" s="415">
        <v>1</v>
      </c>
      <c r="I133" s="415">
        <v>1</v>
      </c>
      <c r="J133" s="150">
        <f t="shared" ref="J133:J140" si="41">K133</f>
        <v>148440.13</v>
      </c>
      <c r="K133" s="14">
        <v>148440.13</v>
      </c>
      <c r="L133" s="426" t="s">
        <v>26</v>
      </c>
      <c r="M133" s="415" t="s">
        <v>26</v>
      </c>
      <c r="N133" s="427">
        <f t="shared" ref="N133:N140" si="42">O133</f>
        <v>148440.13</v>
      </c>
      <c r="O133" s="427">
        <f>G133*K133</f>
        <v>148440.13</v>
      </c>
      <c r="P133" s="426" t="s">
        <v>26</v>
      </c>
      <c r="Q133" s="426"/>
      <c r="R133" s="415" t="s">
        <v>26</v>
      </c>
      <c r="S133" s="10"/>
      <c r="T133" s="149">
        <f t="shared" ref="T133:T140" si="43">H133*K133</f>
        <v>148440.13</v>
      </c>
      <c r="U133" s="149">
        <f t="shared" ref="U133:U140" si="44">I133*K133</f>
        <v>148440.13</v>
      </c>
    </row>
    <row r="134" spans="1:31" x14ac:dyDescent="0.25">
      <c r="A134" s="816"/>
      <c r="B134" s="819"/>
      <c r="C134" s="385" t="s">
        <v>28</v>
      </c>
      <c r="D134" s="19" t="s">
        <v>24</v>
      </c>
      <c r="E134" s="698">
        <f>19-2</f>
        <v>17</v>
      </c>
      <c r="F134" s="11">
        <f>19-2</f>
        <v>17</v>
      </c>
      <c r="G134" s="11">
        <v>17</v>
      </c>
      <c r="H134" s="415">
        <f>17</f>
        <v>17</v>
      </c>
      <c r="I134" s="415">
        <f>17</f>
        <v>17</v>
      </c>
      <c r="J134" s="150">
        <f t="shared" si="41"/>
        <v>164394.18</v>
      </c>
      <c r="K134" s="14">
        <v>164394.18</v>
      </c>
      <c r="L134" s="426" t="s">
        <v>26</v>
      </c>
      <c r="M134" s="415" t="s">
        <v>26</v>
      </c>
      <c r="N134" s="427">
        <f t="shared" si="42"/>
        <v>2794701.06</v>
      </c>
      <c r="O134" s="427">
        <f t="shared" ref="O134:O140" si="45">G134*K134</f>
        <v>2794701.06</v>
      </c>
      <c r="P134" s="426" t="s">
        <v>26</v>
      </c>
      <c r="Q134" s="426"/>
      <c r="R134" s="415" t="s">
        <v>26</v>
      </c>
      <c r="S134" s="10"/>
      <c r="T134" s="149">
        <f t="shared" si="43"/>
        <v>2794701.06</v>
      </c>
      <c r="U134" s="149">
        <f t="shared" si="44"/>
        <v>2794701.06</v>
      </c>
    </row>
    <row r="135" spans="1:31" x14ac:dyDescent="0.25">
      <c r="A135" s="816"/>
      <c r="B135" s="819"/>
      <c r="C135" s="385" t="s">
        <v>29</v>
      </c>
      <c r="D135" s="19" t="s">
        <v>24</v>
      </c>
      <c r="E135" s="698">
        <f>1+1</f>
        <v>2</v>
      </c>
      <c r="F135" s="11">
        <f>1+1</f>
        <v>2</v>
      </c>
      <c r="G135" s="11">
        <v>2</v>
      </c>
      <c r="H135" s="415">
        <f>1+1</f>
        <v>2</v>
      </c>
      <c r="I135" s="415">
        <v>2</v>
      </c>
      <c r="J135" s="150">
        <f t="shared" si="41"/>
        <v>196302.28</v>
      </c>
      <c r="K135" s="14">
        <v>196302.28</v>
      </c>
      <c r="L135" s="426" t="s">
        <v>26</v>
      </c>
      <c r="M135" s="415" t="s">
        <v>26</v>
      </c>
      <c r="N135" s="427">
        <f t="shared" si="42"/>
        <v>392604.56</v>
      </c>
      <c r="O135" s="427">
        <f t="shared" si="45"/>
        <v>392604.56</v>
      </c>
      <c r="P135" s="426" t="s">
        <v>26</v>
      </c>
      <c r="Q135" s="426"/>
      <c r="R135" s="415" t="s">
        <v>26</v>
      </c>
      <c r="S135" s="10"/>
      <c r="T135" s="149">
        <f t="shared" si="43"/>
        <v>392604.56</v>
      </c>
      <c r="U135" s="149">
        <f t="shared" si="44"/>
        <v>392604.56</v>
      </c>
    </row>
    <row r="136" spans="1:31" x14ac:dyDescent="0.25">
      <c r="A136" s="816"/>
      <c r="B136" s="819"/>
      <c r="C136" s="385" t="s">
        <v>30</v>
      </c>
      <c r="D136" s="19" t="s">
        <v>24</v>
      </c>
      <c r="E136" s="11">
        <v>27</v>
      </c>
      <c r="F136" s="11">
        <f>27-1</f>
        <v>26</v>
      </c>
      <c r="G136" s="11">
        <f>26-9</f>
        <v>17</v>
      </c>
      <c r="H136" s="415">
        <f>26-9</f>
        <v>17</v>
      </c>
      <c r="I136" s="415">
        <f>26-9</f>
        <v>17</v>
      </c>
      <c r="J136" s="150">
        <f t="shared" si="41"/>
        <v>162574.21</v>
      </c>
      <c r="K136" s="150">
        <v>162574.21</v>
      </c>
      <c r="L136" s="426" t="s">
        <v>26</v>
      </c>
      <c r="M136" s="415" t="s">
        <v>26</v>
      </c>
      <c r="N136" s="427">
        <f t="shared" si="42"/>
        <v>2763761.57</v>
      </c>
      <c r="O136" s="427">
        <f t="shared" si="45"/>
        <v>2763761.57</v>
      </c>
      <c r="P136" s="426" t="s">
        <v>26</v>
      </c>
      <c r="Q136" s="426"/>
      <c r="R136" s="415" t="s">
        <v>26</v>
      </c>
      <c r="S136" s="10"/>
      <c r="T136" s="149">
        <f t="shared" si="43"/>
        <v>2763761.57</v>
      </c>
      <c r="U136" s="149">
        <f t="shared" si="44"/>
        <v>2763761.57</v>
      </c>
    </row>
    <row r="137" spans="1:31" x14ac:dyDescent="0.25">
      <c r="A137" s="816"/>
      <c r="B137" s="819"/>
      <c r="C137" s="385" t="s">
        <v>31</v>
      </c>
      <c r="D137" s="19" t="s">
        <v>24</v>
      </c>
      <c r="E137" s="11">
        <v>1</v>
      </c>
      <c r="F137" s="11">
        <f>1-1</f>
        <v>0</v>
      </c>
      <c r="G137" s="11">
        <v>0</v>
      </c>
      <c r="H137" s="415">
        <f>1-1</f>
        <v>0</v>
      </c>
      <c r="I137" s="415">
        <v>0</v>
      </c>
      <c r="J137" s="150">
        <f t="shared" si="41"/>
        <v>180348.22</v>
      </c>
      <c r="K137" s="150">
        <v>180348.22</v>
      </c>
      <c r="L137" s="426" t="s">
        <v>26</v>
      </c>
      <c r="M137" s="415" t="s">
        <v>26</v>
      </c>
      <c r="N137" s="427">
        <f t="shared" si="42"/>
        <v>0</v>
      </c>
      <c r="O137" s="427">
        <f t="shared" si="45"/>
        <v>0</v>
      </c>
      <c r="P137" s="426" t="s">
        <v>26</v>
      </c>
      <c r="Q137" s="426"/>
      <c r="R137" s="415" t="s">
        <v>26</v>
      </c>
      <c r="S137" s="10"/>
      <c r="T137" s="149">
        <f t="shared" si="43"/>
        <v>0</v>
      </c>
      <c r="U137" s="149">
        <f t="shared" si="44"/>
        <v>0</v>
      </c>
    </row>
    <row r="138" spans="1:31" x14ac:dyDescent="0.25">
      <c r="A138" s="816"/>
      <c r="B138" s="819"/>
      <c r="C138" s="709" t="s">
        <v>32</v>
      </c>
      <c r="D138" s="19" t="s">
        <v>24</v>
      </c>
      <c r="E138" s="11">
        <v>0</v>
      </c>
      <c r="F138" s="11">
        <f>1+1</f>
        <v>2</v>
      </c>
      <c r="G138" s="11">
        <v>2</v>
      </c>
      <c r="H138" s="415">
        <f>1+1</f>
        <v>2</v>
      </c>
      <c r="I138" s="415">
        <v>2</v>
      </c>
      <c r="J138" s="150">
        <f t="shared" ref="J138" si="46">K138</f>
        <v>204279.3</v>
      </c>
      <c r="K138" s="150">
        <v>204279.3</v>
      </c>
      <c r="L138" s="706" t="s">
        <v>26</v>
      </c>
      <c r="M138" s="415" t="s">
        <v>26</v>
      </c>
      <c r="N138" s="707">
        <f t="shared" ref="N138" si="47">O138</f>
        <v>408558.6</v>
      </c>
      <c r="O138" s="707">
        <f t="shared" ref="O138" si="48">G138*K138</f>
        <v>408558.6</v>
      </c>
      <c r="P138" s="706" t="s">
        <v>26</v>
      </c>
      <c r="Q138" s="706"/>
      <c r="R138" s="415" t="s">
        <v>26</v>
      </c>
      <c r="S138" s="10"/>
      <c r="T138" s="149">
        <f t="shared" ref="T138" si="49">H138*K138</f>
        <v>408558.6</v>
      </c>
      <c r="U138" s="149">
        <f t="shared" ref="U138" si="50">I138*K138</f>
        <v>408558.6</v>
      </c>
    </row>
    <row r="139" spans="1:31" x14ac:dyDescent="0.25">
      <c r="A139" s="816"/>
      <c r="B139" s="819"/>
      <c r="C139" s="385" t="s">
        <v>52</v>
      </c>
      <c r="D139" s="19" t="s">
        <v>24</v>
      </c>
      <c r="E139" s="11">
        <v>1</v>
      </c>
      <c r="F139" s="11">
        <v>1</v>
      </c>
      <c r="G139" s="11">
        <v>1</v>
      </c>
      <c r="H139" s="415">
        <v>1</v>
      </c>
      <c r="I139" s="415">
        <v>1</v>
      </c>
      <c r="J139" s="150">
        <f t="shared" si="41"/>
        <v>343079.52</v>
      </c>
      <c r="K139" s="150">
        <v>343079.52</v>
      </c>
      <c r="L139" s="426" t="s">
        <v>26</v>
      </c>
      <c r="M139" s="415" t="s">
        <v>26</v>
      </c>
      <c r="N139" s="427">
        <f t="shared" si="42"/>
        <v>343079.52</v>
      </c>
      <c r="O139" s="427">
        <f t="shared" si="45"/>
        <v>343079.52</v>
      </c>
      <c r="P139" s="426" t="s">
        <v>26</v>
      </c>
      <c r="Q139" s="426"/>
      <c r="R139" s="415" t="s">
        <v>26</v>
      </c>
      <c r="S139" s="10"/>
      <c r="T139" s="149">
        <f t="shared" si="43"/>
        <v>343079.52</v>
      </c>
      <c r="U139" s="149">
        <f t="shared" si="44"/>
        <v>343079.52</v>
      </c>
    </row>
    <row r="140" spans="1:31" x14ac:dyDescent="0.25">
      <c r="A140" s="816"/>
      <c r="B140" s="819"/>
      <c r="C140" s="385" t="s">
        <v>34</v>
      </c>
      <c r="D140" s="19" t="s">
        <v>24</v>
      </c>
      <c r="E140" s="11"/>
      <c r="F140" s="11"/>
      <c r="G140" s="11">
        <v>0</v>
      </c>
      <c r="H140" s="415"/>
      <c r="I140" s="415"/>
      <c r="J140" s="150">
        <f t="shared" si="41"/>
        <v>146900.85999999999</v>
      </c>
      <c r="K140" s="150">
        <v>146900.85999999999</v>
      </c>
      <c r="L140" s="426" t="s">
        <v>26</v>
      </c>
      <c r="M140" s="415" t="s">
        <v>26</v>
      </c>
      <c r="N140" s="427">
        <f t="shared" si="42"/>
        <v>0</v>
      </c>
      <c r="O140" s="427">
        <f t="shared" si="45"/>
        <v>0</v>
      </c>
      <c r="P140" s="426" t="s">
        <v>26</v>
      </c>
      <c r="Q140" s="426"/>
      <c r="R140" s="415" t="s">
        <v>26</v>
      </c>
      <c r="S140" s="10"/>
      <c r="T140" s="149">
        <f t="shared" si="43"/>
        <v>0</v>
      </c>
      <c r="U140" s="149">
        <f t="shared" si="44"/>
        <v>0</v>
      </c>
      <c r="W140" s="1" t="s">
        <v>569</v>
      </c>
    </row>
    <row r="141" spans="1:31" ht="87" customHeight="1" x14ac:dyDescent="0.25">
      <c r="A141" s="816"/>
      <c r="B141" s="819"/>
      <c r="C141" s="405" t="s">
        <v>35</v>
      </c>
      <c r="D141" s="19" t="s">
        <v>24</v>
      </c>
      <c r="E141" s="11">
        <v>5</v>
      </c>
      <c r="F141" s="11">
        <f>5+1</f>
        <v>6</v>
      </c>
      <c r="G141" s="11">
        <f>6</f>
        <v>6</v>
      </c>
      <c r="H141" s="415">
        <f>6</f>
        <v>6</v>
      </c>
      <c r="I141" s="415">
        <f>6</f>
        <v>6</v>
      </c>
      <c r="J141" s="150">
        <f>SUM(K141:M141)</f>
        <v>490777.28</v>
      </c>
      <c r="K141" s="150">
        <f>445116.57+2198.86</f>
        <v>447315.43</v>
      </c>
      <c r="L141" s="14">
        <v>14267.78</v>
      </c>
      <c r="M141" s="479">
        <v>29194.07</v>
      </c>
      <c r="N141" s="478">
        <f>SUM(O141:R141)</f>
        <v>2944663.68</v>
      </c>
      <c r="O141" s="427">
        <f>G141*K141</f>
        <v>2683892.58</v>
      </c>
      <c r="P141" s="427">
        <f>G141*L141</f>
        <v>85606.680000000008</v>
      </c>
      <c r="Q141" s="427"/>
      <c r="R141" s="150">
        <f>G141*M141</f>
        <v>175164.41999999998</v>
      </c>
      <c r="S141" s="149"/>
      <c r="T141" s="149">
        <f>W141</f>
        <v>2944663.68</v>
      </c>
      <c r="U141" s="149">
        <f>AB141</f>
        <v>2944663.68</v>
      </c>
      <c r="W141" s="449">
        <f>SUM(X141:AA141)</f>
        <v>2944663.68</v>
      </c>
      <c r="X141" s="395">
        <f>H141*K141</f>
        <v>2683892.58</v>
      </c>
      <c r="Y141" s="612">
        <f>H141*L141</f>
        <v>85606.680000000008</v>
      </c>
      <c r="Z141" s="395">
        <f>H141*M141</f>
        <v>175164.41999999998</v>
      </c>
      <c r="AB141" s="449">
        <f>SUM(AC141:AF141)</f>
        <v>2944663.68</v>
      </c>
      <c r="AC141" s="395">
        <f>I141*K141</f>
        <v>2683892.58</v>
      </c>
      <c r="AD141" s="612">
        <f>I141*L141</f>
        <v>85606.680000000008</v>
      </c>
      <c r="AE141" s="395">
        <f>I141*M141</f>
        <v>175164.41999999998</v>
      </c>
    </row>
    <row r="142" spans="1:31" ht="22.95" customHeight="1" x14ac:dyDescent="0.25">
      <c r="A142" s="816"/>
      <c r="B142" s="819"/>
      <c r="C142" s="416" t="s">
        <v>58</v>
      </c>
      <c r="D142" s="19" t="s">
        <v>59</v>
      </c>
      <c r="E142" s="11">
        <v>8</v>
      </c>
      <c r="F142" s="11">
        <v>8</v>
      </c>
      <c r="G142" s="11">
        <v>8</v>
      </c>
      <c r="H142" s="415">
        <v>8</v>
      </c>
      <c r="I142" s="415">
        <v>8</v>
      </c>
      <c r="J142" s="150">
        <f>SUM(K142:M142)</f>
        <v>234360</v>
      </c>
      <c r="K142" s="150">
        <f>10000*1.5*1.302*12</f>
        <v>234360</v>
      </c>
      <c r="L142" s="384"/>
      <c r="M142" s="14"/>
      <c r="N142" s="478">
        <f>SUM(O142:R142)</f>
        <v>1874880</v>
      </c>
      <c r="O142" s="14">
        <f>G142*K142</f>
        <v>1874880</v>
      </c>
      <c r="P142" s="427"/>
      <c r="Q142" s="427"/>
      <c r="R142" s="150"/>
      <c r="S142" s="149"/>
      <c r="T142" s="149">
        <f>H142*K142-1874880</f>
        <v>0</v>
      </c>
      <c r="U142" s="149">
        <f>I142*K142-1874880</f>
        <v>0</v>
      </c>
    </row>
    <row r="143" spans="1:31" ht="20.399999999999999" customHeight="1" x14ac:dyDescent="0.25">
      <c r="A143" s="816"/>
      <c r="B143" s="820"/>
      <c r="C143" s="417" t="s">
        <v>38</v>
      </c>
      <c r="D143" s="19"/>
      <c r="E143" s="609">
        <f>E131+E141</f>
        <v>211</v>
      </c>
      <c r="F143" s="609">
        <f>F131+F141</f>
        <v>197</v>
      </c>
      <c r="G143" s="757">
        <f>G131+G141</f>
        <v>199</v>
      </c>
      <c r="H143" s="757">
        <f>H131+H141</f>
        <v>199</v>
      </c>
      <c r="I143" s="757">
        <f>I131+I141</f>
        <v>199</v>
      </c>
      <c r="J143" s="427" t="s">
        <v>26</v>
      </c>
      <c r="K143" s="427" t="s">
        <v>26</v>
      </c>
      <c r="L143" s="427" t="s">
        <v>26</v>
      </c>
      <c r="M143" s="14" t="s">
        <v>26</v>
      </c>
      <c r="N143" s="418">
        <f>SUM(N131:N142)</f>
        <v>27506535.98</v>
      </c>
      <c r="O143" s="418">
        <f t="shared" ref="O143:U143" si="51">SUM(O131:O142)</f>
        <v>18857627.829999998</v>
      </c>
      <c r="P143" s="418">
        <f t="shared" si="51"/>
        <v>2839288.22</v>
      </c>
      <c r="Q143" s="418">
        <f t="shared" si="51"/>
        <v>0</v>
      </c>
      <c r="R143" s="775">
        <f t="shared" si="51"/>
        <v>5809619.9299999997</v>
      </c>
      <c r="S143" s="418">
        <f t="shared" si="51"/>
        <v>0</v>
      </c>
      <c r="T143" s="418">
        <f t="shared" si="51"/>
        <v>25631655.98</v>
      </c>
      <c r="U143" s="418">
        <f t="shared" si="51"/>
        <v>25631655.98</v>
      </c>
      <c r="W143" s="1" t="s">
        <v>442</v>
      </c>
      <c r="AB143" s="1" t="s">
        <v>568</v>
      </c>
    </row>
    <row r="144" spans="1:31" ht="75" customHeight="1" x14ac:dyDescent="0.25">
      <c r="A144" s="816"/>
      <c r="B144" s="818" t="s">
        <v>316</v>
      </c>
      <c r="C144" s="22" t="s">
        <v>23</v>
      </c>
      <c r="D144" s="19" t="s">
        <v>24</v>
      </c>
      <c r="E144" s="11">
        <f>261-51</f>
        <v>210</v>
      </c>
      <c r="F144" s="11">
        <f>211-20</f>
        <v>191</v>
      </c>
      <c r="G144" s="11">
        <f>179+11</f>
        <v>190</v>
      </c>
      <c r="H144" s="11">
        <f>179+11</f>
        <v>190</v>
      </c>
      <c r="I144" s="11">
        <f>179+11</f>
        <v>190</v>
      </c>
      <c r="J144" s="384">
        <f>SUM(K144:M144)</f>
        <v>100357.73999999999</v>
      </c>
      <c r="K144" s="14">
        <f>54145.32+2750.57</f>
        <v>56895.89</v>
      </c>
      <c r="L144" s="14">
        <v>14267.78</v>
      </c>
      <c r="M144" s="479">
        <v>29194.07</v>
      </c>
      <c r="N144" s="478">
        <f>SUM(O144:R144)</f>
        <v>19067970.600000001</v>
      </c>
      <c r="O144" s="427">
        <f>G144*K144</f>
        <v>10810219.1</v>
      </c>
      <c r="P144" s="427">
        <f>G144*L144</f>
        <v>2710878.2</v>
      </c>
      <c r="Q144" s="427"/>
      <c r="R144" s="150">
        <f>G144*M144</f>
        <v>5546873.2999999998</v>
      </c>
      <c r="S144" s="149"/>
      <c r="T144" s="149">
        <f>W144</f>
        <v>19067970.600000001</v>
      </c>
      <c r="U144" s="149">
        <f>AB144</f>
        <v>19067970.600000001</v>
      </c>
      <c r="W144" s="449">
        <f>SUM(X144:AA144)</f>
        <v>19067970.600000001</v>
      </c>
      <c r="X144" s="395">
        <f>H144*K144</f>
        <v>10810219.1</v>
      </c>
      <c r="Y144" s="612">
        <f>H144*L144</f>
        <v>2710878.2</v>
      </c>
      <c r="Z144" s="395">
        <f>H144*M144</f>
        <v>5546873.2999999998</v>
      </c>
      <c r="AB144" s="449">
        <f>SUM(AC144:AF144)</f>
        <v>19067970.600000001</v>
      </c>
      <c r="AC144" s="395">
        <f>I144*K144</f>
        <v>10810219.1</v>
      </c>
      <c r="AD144" s="612">
        <f>I144*L144</f>
        <v>2710878.2</v>
      </c>
      <c r="AE144" s="395">
        <f>I144*M144</f>
        <v>5546873.2999999998</v>
      </c>
    </row>
    <row r="145" spans="1:31" ht="106.95" customHeight="1" x14ac:dyDescent="0.25">
      <c r="A145" s="816"/>
      <c r="B145" s="819"/>
      <c r="C145" s="22" t="s">
        <v>63</v>
      </c>
      <c r="D145" s="19" t="s">
        <v>24</v>
      </c>
      <c r="E145" s="11">
        <v>54</v>
      </c>
      <c r="F145" s="11">
        <f>54+24</f>
        <v>78</v>
      </c>
      <c r="G145" s="11">
        <v>77</v>
      </c>
      <c r="H145" s="11">
        <v>77</v>
      </c>
      <c r="I145" s="11">
        <v>77</v>
      </c>
      <c r="J145" s="384">
        <f>SUM(K145:M145)</f>
        <v>106341.04000000001</v>
      </c>
      <c r="K145" s="14">
        <f>60128.62+2750.57</f>
        <v>62879.19</v>
      </c>
      <c r="L145" s="14">
        <v>14267.78</v>
      </c>
      <c r="M145" s="479">
        <v>29194.07</v>
      </c>
      <c r="N145" s="498">
        <f>SUM(O145:R145)</f>
        <v>8188260.0800000001</v>
      </c>
      <c r="O145" s="498">
        <f>G145*K145</f>
        <v>4841697.63</v>
      </c>
      <c r="P145" s="498">
        <f>G145*L145</f>
        <v>1098619.06</v>
      </c>
      <c r="Q145" s="498"/>
      <c r="R145" s="150">
        <f>G145*M145</f>
        <v>2247943.39</v>
      </c>
      <c r="S145" s="149"/>
      <c r="T145" s="149">
        <f>W145</f>
        <v>8188260.0800000001</v>
      </c>
      <c r="U145" s="149">
        <f>AB145</f>
        <v>8188260.0800000001</v>
      </c>
      <c r="W145" s="449">
        <f>SUM(X145:AA145)</f>
        <v>8188260.0800000001</v>
      </c>
      <c r="X145" s="395">
        <f>H145*K145</f>
        <v>4841697.63</v>
      </c>
      <c r="Y145" s="14">
        <f>H145*L145</f>
        <v>1098619.06</v>
      </c>
      <c r="Z145" s="395">
        <f>H145*M145</f>
        <v>2247943.39</v>
      </c>
      <c r="AB145" s="449">
        <f>SUM(AC145:AF145)</f>
        <v>8188260.0800000001</v>
      </c>
      <c r="AC145" s="395">
        <f>I145*K145</f>
        <v>4841697.63</v>
      </c>
      <c r="AD145" s="14">
        <f>I145*L145</f>
        <v>1098619.06</v>
      </c>
      <c r="AE145" s="395">
        <f>I145*M145</f>
        <v>2247943.39</v>
      </c>
    </row>
    <row r="146" spans="1:31" ht="89.4" customHeight="1" x14ac:dyDescent="0.25">
      <c r="A146" s="816"/>
      <c r="B146" s="819"/>
      <c r="C146" s="405" t="s">
        <v>25</v>
      </c>
      <c r="D146" s="19" t="s">
        <v>24</v>
      </c>
      <c r="E146" s="10" t="s">
        <v>26</v>
      </c>
      <c r="F146" s="10" t="s">
        <v>26</v>
      </c>
      <c r="G146" s="10" t="s">
        <v>26</v>
      </c>
      <c r="H146" s="415" t="s">
        <v>26</v>
      </c>
      <c r="I146" s="415" t="s">
        <v>26</v>
      </c>
      <c r="J146" s="426" t="s">
        <v>26</v>
      </c>
      <c r="K146" s="426" t="s">
        <v>26</v>
      </c>
      <c r="L146" s="426" t="s">
        <v>26</v>
      </c>
      <c r="M146" s="415" t="s">
        <v>26</v>
      </c>
      <c r="N146" s="427"/>
      <c r="O146" s="427"/>
      <c r="P146" s="426" t="s">
        <v>26</v>
      </c>
      <c r="Q146" s="426"/>
      <c r="R146" s="415" t="s">
        <v>26</v>
      </c>
      <c r="S146" s="10"/>
      <c r="T146" s="149"/>
      <c r="U146" s="149"/>
    </row>
    <row r="147" spans="1:31" x14ac:dyDescent="0.25">
      <c r="A147" s="816"/>
      <c r="B147" s="819"/>
      <c r="C147" s="385" t="s">
        <v>27</v>
      </c>
      <c r="D147" s="19" t="s">
        <v>24</v>
      </c>
      <c r="E147" s="443"/>
      <c r="F147" s="443"/>
      <c r="G147" s="11">
        <v>0</v>
      </c>
      <c r="H147" s="444">
        <v>0</v>
      </c>
      <c r="I147" s="444">
        <v>0</v>
      </c>
      <c r="J147" s="150">
        <f>K147</f>
        <v>71944.38</v>
      </c>
      <c r="K147" s="150">
        <v>71944.38</v>
      </c>
      <c r="L147" s="426" t="s">
        <v>26</v>
      </c>
      <c r="M147" s="415" t="s">
        <v>26</v>
      </c>
      <c r="N147" s="427">
        <f>O147</f>
        <v>0</v>
      </c>
      <c r="O147" s="427">
        <f>G147*K147</f>
        <v>0</v>
      </c>
      <c r="P147" s="426" t="s">
        <v>26</v>
      </c>
      <c r="Q147" s="426"/>
      <c r="R147" s="415" t="s">
        <v>26</v>
      </c>
      <c r="S147" s="10"/>
      <c r="T147" s="149">
        <f>H147*K147</f>
        <v>0</v>
      </c>
      <c r="U147" s="149">
        <f>I147*K147</f>
        <v>0</v>
      </c>
    </row>
    <row r="148" spans="1:31" x14ac:dyDescent="0.25">
      <c r="A148" s="816"/>
      <c r="B148" s="819"/>
      <c r="C148" s="385" t="s">
        <v>29</v>
      </c>
      <c r="D148" s="19" t="s">
        <v>24</v>
      </c>
      <c r="E148" s="607">
        <f>2+1</f>
        <v>3</v>
      </c>
      <c r="F148" s="607">
        <v>4</v>
      </c>
      <c r="G148" s="11">
        <v>3</v>
      </c>
      <c r="H148" s="444">
        <v>3</v>
      </c>
      <c r="I148" s="444">
        <v>3</v>
      </c>
      <c r="J148" s="150">
        <f>K148</f>
        <v>119806.54</v>
      </c>
      <c r="K148" s="150">
        <v>119806.54</v>
      </c>
      <c r="L148" s="426" t="s">
        <v>26</v>
      </c>
      <c r="M148" s="415" t="s">
        <v>26</v>
      </c>
      <c r="N148" s="427">
        <f>O148</f>
        <v>359419.62</v>
      </c>
      <c r="O148" s="427">
        <f t="shared" ref="O148:O151" si="52">G148*K148</f>
        <v>359419.62</v>
      </c>
      <c r="P148" s="426" t="s">
        <v>26</v>
      </c>
      <c r="Q148" s="426"/>
      <c r="R148" s="415" t="s">
        <v>26</v>
      </c>
      <c r="S148" s="10"/>
      <c r="T148" s="149">
        <f>H148*K148</f>
        <v>359419.62</v>
      </c>
      <c r="U148" s="149">
        <f>I148*K148</f>
        <v>359419.62</v>
      </c>
    </row>
    <row r="149" spans="1:31" x14ac:dyDescent="0.25">
      <c r="A149" s="816"/>
      <c r="B149" s="819"/>
      <c r="C149" s="385" t="s">
        <v>31</v>
      </c>
      <c r="D149" s="19" t="s">
        <v>24</v>
      </c>
      <c r="E149" s="696">
        <f>3-1</f>
        <v>2</v>
      </c>
      <c r="F149" s="607">
        <v>1</v>
      </c>
      <c r="G149" s="11">
        <v>1</v>
      </c>
      <c r="H149" s="444">
        <v>1</v>
      </c>
      <c r="I149" s="444">
        <v>1</v>
      </c>
      <c r="J149" s="150">
        <f>K149</f>
        <v>310708.38</v>
      </c>
      <c r="K149" s="150">
        <v>310708.38</v>
      </c>
      <c r="L149" s="426" t="s">
        <v>26</v>
      </c>
      <c r="M149" s="415" t="s">
        <v>26</v>
      </c>
      <c r="N149" s="427">
        <f>O149</f>
        <v>310708.38</v>
      </c>
      <c r="O149" s="427">
        <f t="shared" si="52"/>
        <v>310708.38</v>
      </c>
      <c r="P149" s="426" t="s">
        <v>26</v>
      </c>
      <c r="Q149" s="426"/>
      <c r="R149" s="415"/>
      <c r="S149" s="10"/>
      <c r="T149" s="149">
        <f>H149*K149</f>
        <v>310708.38</v>
      </c>
      <c r="U149" s="149">
        <f>I149*K149</f>
        <v>310708.38</v>
      </c>
    </row>
    <row r="150" spans="1:31" x14ac:dyDescent="0.25">
      <c r="A150" s="816"/>
      <c r="B150" s="819"/>
      <c r="C150" s="385" t="s">
        <v>33</v>
      </c>
      <c r="D150" s="19" t="s">
        <v>24</v>
      </c>
      <c r="E150" s="607">
        <v>1</v>
      </c>
      <c r="F150" s="607">
        <v>1</v>
      </c>
      <c r="G150" s="11">
        <v>1</v>
      </c>
      <c r="H150" s="444">
        <v>1</v>
      </c>
      <c r="I150" s="444">
        <v>1</v>
      </c>
      <c r="J150" s="150">
        <f>K150</f>
        <v>26113.16</v>
      </c>
      <c r="K150" s="150">
        <v>26113.16</v>
      </c>
      <c r="L150" s="426" t="s">
        <v>26</v>
      </c>
      <c r="M150" s="415" t="s">
        <v>26</v>
      </c>
      <c r="N150" s="427">
        <f>O150</f>
        <v>26113.16</v>
      </c>
      <c r="O150" s="427">
        <f t="shared" si="52"/>
        <v>26113.16</v>
      </c>
      <c r="P150" s="426" t="s">
        <v>26</v>
      </c>
      <c r="Q150" s="426"/>
      <c r="R150" s="415"/>
      <c r="S150" s="10"/>
      <c r="T150" s="149">
        <f>H150*K150</f>
        <v>26113.16</v>
      </c>
      <c r="U150" s="149">
        <f>I150*K150</f>
        <v>26113.16</v>
      </c>
    </row>
    <row r="151" spans="1:31" x14ac:dyDescent="0.25">
      <c r="A151" s="816"/>
      <c r="B151" s="819"/>
      <c r="C151" s="385" t="s">
        <v>34</v>
      </c>
      <c r="D151" s="19" t="s">
        <v>24</v>
      </c>
      <c r="E151" s="607">
        <v>6</v>
      </c>
      <c r="F151" s="607">
        <v>10</v>
      </c>
      <c r="G151" s="11">
        <f>7-1</f>
        <v>6</v>
      </c>
      <c r="H151" s="444">
        <v>6</v>
      </c>
      <c r="I151" s="444">
        <v>6</v>
      </c>
      <c r="J151" s="150">
        <f>K151</f>
        <v>18697.54</v>
      </c>
      <c r="K151" s="150">
        <v>18697.54</v>
      </c>
      <c r="L151" s="426" t="s">
        <v>26</v>
      </c>
      <c r="M151" s="415" t="s">
        <v>26</v>
      </c>
      <c r="N151" s="427">
        <f>O151</f>
        <v>112185.24</v>
      </c>
      <c r="O151" s="427">
        <f t="shared" si="52"/>
        <v>112185.24</v>
      </c>
      <c r="P151" s="426" t="s">
        <v>26</v>
      </c>
      <c r="Q151" s="426"/>
      <c r="R151" s="415" t="s">
        <v>26</v>
      </c>
      <c r="S151" s="10"/>
      <c r="T151" s="149">
        <f>H151*K151</f>
        <v>112185.24</v>
      </c>
      <c r="U151" s="149">
        <f>I151*K151</f>
        <v>112185.24</v>
      </c>
    </row>
    <row r="152" spans="1:31" ht="82.95" customHeight="1" x14ac:dyDescent="0.25">
      <c r="A152" s="816"/>
      <c r="B152" s="820"/>
      <c r="C152" s="385" t="s">
        <v>35</v>
      </c>
      <c r="D152" s="19" t="s">
        <v>24</v>
      </c>
      <c r="E152" s="607">
        <v>3</v>
      </c>
      <c r="F152" s="607">
        <v>4</v>
      </c>
      <c r="G152" s="11">
        <v>4</v>
      </c>
      <c r="H152" s="444">
        <v>4</v>
      </c>
      <c r="I152" s="444">
        <v>4</v>
      </c>
      <c r="J152" s="150">
        <f>SUM(K152:M152)</f>
        <v>547942.24</v>
      </c>
      <c r="K152" s="150">
        <f>501729.82+2750.57</f>
        <v>504480.39</v>
      </c>
      <c r="L152" s="14">
        <v>14267.78</v>
      </c>
      <c r="M152" s="479">
        <v>29194.07</v>
      </c>
      <c r="N152" s="395">
        <f>SUM(O152:R152)</f>
        <v>2191768.96</v>
      </c>
      <c r="O152" s="427">
        <f>G152*K152</f>
        <v>2017921.56</v>
      </c>
      <c r="P152" s="427">
        <f>G152*L152</f>
        <v>57071.12</v>
      </c>
      <c r="Q152" s="395"/>
      <c r="R152" s="150">
        <f>G152*M152</f>
        <v>116776.28</v>
      </c>
      <c r="S152" s="149"/>
      <c r="T152" s="149">
        <f>W152</f>
        <v>2191768.96</v>
      </c>
      <c r="U152" s="149">
        <f>AB152</f>
        <v>2191768.96</v>
      </c>
      <c r="W152" s="449">
        <f>SUM(X152:AA152)</f>
        <v>2191768.96</v>
      </c>
      <c r="X152" s="395">
        <f>H152*K152</f>
        <v>2017921.56</v>
      </c>
      <c r="Y152" s="14">
        <f>H152*L152</f>
        <v>57071.12</v>
      </c>
      <c r="Z152" s="395">
        <f>H152*M152</f>
        <v>116776.28</v>
      </c>
      <c r="AB152" s="449">
        <f>SUM(AC152:AF152)</f>
        <v>2191768.96</v>
      </c>
      <c r="AC152" s="395">
        <f>I152*K152</f>
        <v>2017921.56</v>
      </c>
      <c r="AD152" s="14">
        <f>I152*L152</f>
        <v>57071.12</v>
      </c>
      <c r="AE152" s="395">
        <f>I152*M152</f>
        <v>116776.28</v>
      </c>
    </row>
    <row r="153" spans="1:31" ht="18.600000000000001" customHeight="1" x14ac:dyDescent="0.25">
      <c r="A153" s="816"/>
      <c r="B153" s="402"/>
      <c r="C153" s="386" t="s">
        <v>58</v>
      </c>
      <c r="D153" s="400" t="s">
        <v>59</v>
      </c>
      <c r="E153" s="6">
        <v>10</v>
      </c>
      <c r="F153" s="6">
        <v>10</v>
      </c>
      <c r="G153" s="616">
        <v>10</v>
      </c>
      <c r="H153" s="7">
        <v>10</v>
      </c>
      <c r="I153" s="7">
        <v>10</v>
      </c>
      <c r="J153" s="31">
        <f>SUM(K153:M153)</f>
        <v>234360</v>
      </c>
      <c r="K153" s="31">
        <f>10000*1.5*1.302*12</f>
        <v>234360</v>
      </c>
      <c r="L153" s="20"/>
      <c r="M153" s="21"/>
      <c r="N153" s="483">
        <f>SUM(O153:R153)</f>
        <v>2343600</v>
      </c>
      <c r="O153" s="21">
        <f>G153*K153</f>
        <v>2343600</v>
      </c>
      <c r="P153" s="382"/>
      <c r="Q153" s="387"/>
      <c r="R153" s="31"/>
      <c r="S153" s="23"/>
      <c r="T153" s="485">
        <f>H153*K153-2343600</f>
        <v>0</v>
      </c>
      <c r="U153" s="485">
        <f>I153*K153-2343600</f>
        <v>0</v>
      </c>
    </row>
    <row r="154" spans="1:31" ht="23.4" customHeight="1" x14ac:dyDescent="0.25">
      <c r="A154" s="816"/>
      <c r="B154" s="402"/>
      <c r="C154" s="401" t="s">
        <v>38</v>
      </c>
      <c r="D154" s="400"/>
      <c r="E154" s="615">
        <f>E144+E145+E152</f>
        <v>267</v>
      </c>
      <c r="F154" s="615">
        <f>F144+F145+F152</f>
        <v>273</v>
      </c>
      <c r="G154" s="758">
        <f>G144+G145+G152</f>
        <v>271</v>
      </c>
      <c r="H154" s="759">
        <f>H144+H145+H152</f>
        <v>271</v>
      </c>
      <c r="I154" s="759">
        <f>I144+I145+I152</f>
        <v>271</v>
      </c>
      <c r="J154" s="387" t="s">
        <v>26</v>
      </c>
      <c r="K154" s="387" t="s">
        <v>26</v>
      </c>
      <c r="L154" s="387" t="s">
        <v>26</v>
      </c>
      <c r="M154" s="31" t="s">
        <v>26</v>
      </c>
      <c r="N154" s="388">
        <f>SUM(N144:N153)</f>
        <v>32600026.039999999</v>
      </c>
      <c r="O154" s="388">
        <f t="shared" ref="O154:U154" si="53">SUM(O144:O153)</f>
        <v>20821864.690000001</v>
      </c>
      <c r="P154" s="388">
        <f t="shared" si="53"/>
        <v>3866568.3800000004</v>
      </c>
      <c r="Q154" s="388">
        <f t="shared" si="53"/>
        <v>0</v>
      </c>
      <c r="R154" s="778">
        <f t="shared" si="53"/>
        <v>7911592.9699999997</v>
      </c>
      <c r="S154" s="388">
        <f t="shared" si="53"/>
        <v>0</v>
      </c>
      <c r="T154" s="388">
        <f t="shared" si="53"/>
        <v>30256426.039999999</v>
      </c>
      <c r="U154" s="388">
        <f t="shared" si="53"/>
        <v>30256426.039999999</v>
      </c>
      <c r="W154" s="1" t="s">
        <v>570</v>
      </c>
    </row>
    <row r="155" spans="1:31" ht="73.2" customHeight="1" x14ac:dyDescent="0.25">
      <c r="A155" s="816"/>
      <c r="B155" s="818" t="s">
        <v>113</v>
      </c>
      <c r="C155" s="22" t="s">
        <v>23</v>
      </c>
      <c r="D155" s="19" t="s">
        <v>24</v>
      </c>
      <c r="E155" s="607">
        <v>43</v>
      </c>
      <c r="F155" s="607">
        <v>43</v>
      </c>
      <c r="G155" s="11">
        <v>43</v>
      </c>
      <c r="H155" s="444">
        <v>43</v>
      </c>
      <c r="I155" s="444">
        <v>43</v>
      </c>
      <c r="J155" s="384">
        <f>SUM(K155:M155)</f>
        <v>116333.35999999999</v>
      </c>
      <c r="K155" s="14">
        <f>70145.11+2726.4</f>
        <v>72871.509999999995</v>
      </c>
      <c r="L155" s="14">
        <v>14267.78</v>
      </c>
      <c r="M155" s="479">
        <v>29194.07</v>
      </c>
      <c r="N155" s="449">
        <f>SUM(O155:R155)</f>
        <v>5002334.4799999995</v>
      </c>
      <c r="O155" s="395">
        <f>G155*K155</f>
        <v>3133474.9299999997</v>
      </c>
      <c r="P155" s="14">
        <f>G155*L155</f>
        <v>613514.54</v>
      </c>
      <c r="Q155" s="395"/>
      <c r="R155" s="150">
        <f>G155*M155</f>
        <v>1255345.01</v>
      </c>
      <c r="S155" s="149"/>
      <c r="T155" s="149">
        <f>W155</f>
        <v>5002334.4799999995</v>
      </c>
      <c r="U155" s="149">
        <f>AB155</f>
        <v>5002334.4799999995</v>
      </c>
      <c r="W155" s="449">
        <f>SUM(X155:AA155)</f>
        <v>5002334.4799999995</v>
      </c>
      <c r="X155" s="395">
        <f>H155*K155</f>
        <v>3133474.9299999997</v>
      </c>
      <c r="Y155" s="612">
        <f>H155*L155</f>
        <v>613514.54</v>
      </c>
      <c r="Z155" s="395">
        <f>H155*M155</f>
        <v>1255345.01</v>
      </c>
      <c r="AA155" s="150">
        <f>P155*V155</f>
        <v>0</v>
      </c>
      <c r="AB155" s="449">
        <f>SUM(AC155:AF155)</f>
        <v>5002334.4799999995</v>
      </c>
      <c r="AC155" s="395">
        <f>I155*K155</f>
        <v>3133474.9299999997</v>
      </c>
      <c r="AD155" s="14">
        <f>I155*L155</f>
        <v>613514.54</v>
      </c>
      <c r="AE155" s="395">
        <f>I155*M155</f>
        <v>1255345.01</v>
      </c>
    </row>
    <row r="156" spans="1:31" ht="82.8" x14ac:dyDescent="0.25">
      <c r="A156" s="816"/>
      <c r="B156" s="819"/>
      <c r="C156" s="405" t="s">
        <v>25</v>
      </c>
      <c r="D156" s="19" t="s">
        <v>24</v>
      </c>
      <c r="E156" s="10" t="s">
        <v>26</v>
      </c>
      <c r="F156" s="10" t="s">
        <v>26</v>
      </c>
      <c r="G156" s="11" t="s">
        <v>26</v>
      </c>
      <c r="H156" s="415" t="s">
        <v>26</v>
      </c>
      <c r="I156" s="415" t="s">
        <v>26</v>
      </c>
      <c r="J156" s="426" t="s">
        <v>26</v>
      </c>
      <c r="K156" s="426" t="s">
        <v>26</v>
      </c>
      <c r="L156" s="426" t="s">
        <v>26</v>
      </c>
      <c r="M156" s="415" t="s">
        <v>26</v>
      </c>
      <c r="N156" s="427"/>
      <c r="O156" s="427"/>
      <c r="P156" s="426" t="s">
        <v>26</v>
      </c>
      <c r="Q156" s="426"/>
      <c r="R156" s="415" t="s">
        <v>26</v>
      </c>
      <c r="S156" s="10"/>
      <c r="T156" s="149"/>
      <c r="U156" s="149"/>
    </row>
    <row r="157" spans="1:31" x14ac:dyDescent="0.25">
      <c r="A157" s="816"/>
      <c r="B157" s="819"/>
      <c r="C157" s="405" t="s">
        <v>29</v>
      </c>
      <c r="D157" s="19" t="s">
        <v>24</v>
      </c>
      <c r="E157" s="443">
        <f>1-1</f>
        <v>0</v>
      </c>
      <c r="F157" s="607">
        <f>1-1</f>
        <v>0</v>
      </c>
      <c r="G157" s="11">
        <v>0</v>
      </c>
      <c r="H157" s="444">
        <v>0</v>
      </c>
      <c r="I157" s="444">
        <v>0</v>
      </c>
      <c r="J157" s="150">
        <f>K157</f>
        <v>122576.58</v>
      </c>
      <c r="K157" s="150">
        <v>122576.58</v>
      </c>
      <c r="L157" s="426" t="s">
        <v>26</v>
      </c>
      <c r="M157" s="415" t="s">
        <v>26</v>
      </c>
      <c r="N157" s="427">
        <f>O157</f>
        <v>0</v>
      </c>
      <c r="O157" s="427">
        <f>G157*K157</f>
        <v>0</v>
      </c>
      <c r="P157" s="426" t="s">
        <v>26</v>
      </c>
      <c r="Q157" s="426"/>
      <c r="R157" s="415" t="s">
        <v>26</v>
      </c>
      <c r="S157" s="10"/>
      <c r="T157" s="149">
        <f>H157*K157</f>
        <v>0</v>
      </c>
      <c r="U157" s="149">
        <f>I157*K157</f>
        <v>0</v>
      </c>
    </row>
    <row r="158" spans="1:31" ht="82.95" customHeight="1" x14ac:dyDescent="0.25">
      <c r="A158" s="816"/>
      <c r="B158" s="820"/>
      <c r="C158" s="405" t="s">
        <v>35</v>
      </c>
      <c r="D158" s="19" t="s">
        <v>24</v>
      </c>
      <c r="E158" s="411"/>
      <c r="F158" s="411">
        <v>0</v>
      </c>
      <c r="G158" s="613">
        <v>0</v>
      </c>
      <c r="H158" s="444">
        <v>0</v>
      </c>
      <c r="I158" s="444">
        <v>0</v>
      </c>
      <c r="J158" s="150">
        <f>SUM(K158:M158)</f>
        <v>603319.05000000005</v>
      </c>
      <c r="K158" s="150">
        <f>557130.8+2726.4</f>
        <v>559857.20000000007</v>
      </c>
      <c r="L158" s="14">
        <v>14267.78</v>
      </c>
      <c r="M158" s="478">
        <v>29194.07</v>
      </c>
      <c r="N158" s="395">
        <f>SUM(O158:R158)</f>
        <v>0</v>
      </c>
      <c r="O158" s="395">
        <f>G158*K158</f>
        <v>0</v>
      </c>
      <c r="P158" s="395">
        <f>G158*L158</f>
        <v>0</v>
      </c>
      <c r="Q158" s="395"/>
      <c r="R158" s="150">
        <f>G158*M158</f>
        <v>0</v>
      </c>
      <c r="S158" s="396"/>
      <c r="T158" s="149">
        <f>H158*J158</f>
        <v>0</v>
      </c>
      <c r="U158" s="149">
        <f>I158*J158</f>
        <v>0</v>
      </c>
    </row>
    <row r="159" spans="1:31" ht="17.399999999999999" customHeight="1" x14ac:dyDescent="0.25">
      <c r="A159" s="816"/>
      <c r="B159" s="402"/>
      <c r="C159" s="416" t="s">
        <v>58</v>
      </c>
      <c r="D159" s="19" t="s">
        <v>59</v>
      </c>
      <c r="E159" s="607">
        <v>2</v>
      </c>
      <c r="F159" s="607">
        <v>2</v>
      </c>
      <c r="G159" s="11">
        <v>2</v>
      </c>
      <c r="H159" s="444">
        <v>2</v>
      </c>
      <c r="I159" s="444">
        <v>2</v>
      </c>
      <c r="J159" s="150">
        <f>SUM(K159:M159)</f>
        <v>234360</v>
      </c>
      <c r="K159" s="150">
        <f>10000*1.5*1.302*12</f>
        <v>234360</v>
      </c>
      <c r="L159" s="384"/>
      <c r="M159" s="14"/>
      <c r="N159" s="449">
        <f>SUM(O159:R159)</f>
        <v>468720</v>
      </c>
      <c r="O159" s="150">
        <f>K159*G159</f>
        <v>468720</v>
      </c>
      <c r="P159" s="395"/>
      <c r="Q159" s="395"/>
      <c r="R159" s="150"/>
      <c r="S159" s="396"/>
      <c r="T159" s="149">
        <f>H159*K159-468720</f>
        <v>0</v>
      </c>
      <c r="U159" s="149">
        <f>I159*K159-468720</f>
        <v>0</v>
      </c>
    </row>
    <row r="160" spans="1:31" ht="27.6" customHeight="1" x14ac:dyDescent="0.25">
      <c r="A160" s="816"/>
      <c r="B160" s="402"/>
      <c r="C160" s="417" t="s">
        <v>38</v>
      </c>
      <c r="D160" s="19"/>
      <c r="E160" s="608">
        <f>E155+E158</f>
        <v>43</v>
      </c>
      <c r="F160" s="695">
        <f>F155+F158</f>
        <v>43</v>
      </c>
      <c r="G160" s="608">
        <f>G155+G158</f>
        <v>43</v>
      </c>
      <c r="H160" s="610">
        <f>H155+H158</f>
        <v>43</v>
      </c>
      <c r="I160" s="610">
        <f>I155+I158</f>
        <v>43</v>
      </c>
      <c r="J160" s="395" t="s">
        <v>26</v>
      </c>
      <c r="K160" s="395" t="s">
        <v>26</v>
      </c>
      <c r="L160" s="395" t="s">
        <v>26</v>
      </c>
      <c r="M160" s="150" t="s">
        <v>26</v>
      </c>
      <c r="N160" s="413">
        <f>SUM(N155:N159)</f>
        <v>5471054.4799999995</v>
      </c>
      <c r="O160" s="413">
        <f t="shared" ref="O160:U160" si="54">SUM(O155:O159)</f>
        <v>3602194.9299999997</v>
      </c>
      <c r="P160" s="413">
        <f t="shared" si="54"/>
        <v>613514.54</v>
      </c>
      <c r="Q160" s="413">
        <f t="shared" si="54"/>
        <v>0</v>
      </c>
      <c r="R160" s="646">
        <f t="shared" si="54"/>
        <v>1255345.01</v>
      </c>
      <c r="S160" s="413">
        <f t="shared" si="54"/>
        <v>0</v>
      </c>
      <c r="T160" s="413">
        <f t="shared" si="54"/>
        <v>5002334.4799999995</v>
      </c>
      <c r="U160" s="413">
        <f t="shared" si="54"/>
        <v>5002334.4799999995</v>
      </c>
    </row>
    <row r="161" spans="1:31" ht="52.95" customHeight="1" x14ac:dyDescent="0.25">
      <c r="A161" s="816"/>
      <c r="B161" s="823" t="s">
        <v>317</v>
      </c>
      <c r="C161" s="839" t="s">
        <v>41</v>
      </c>
      <c r="D161" s="19" t="s">
        <v>24</v>
      </c>
      <c r="E161" s="696">
        <f>884+263-284+298</f>
        <v>1161</v>
      </c>
      <c r="F161" s="444">
        <f>884+263+14</f>
        <v>1161</v>
      </c>
      <c r="G161" s="445">
        <f>958+203</f>
        <v>1161</v>
      </c>
      <c r="H161" s="444">
        <f>884+263-189+203</f>
        <v>1161</v>
      </c>
      <c r="I161" s="444">
        <f>884+263-189+203</f>
        <v>1161</v>
      </c>
      <c r="J161" s="150">
        <f>K161</f>
        <v>5125.76</v>
      </c>
      <c r="K161" s="150">
        <v>5125.76</v>
      </c>
      <c r="L161" s="395" t="s">
        <v>26</v>
      </c>
      <c r="M161" s="150" t="s">
        <v>26</v>
      </c>
      <c r="N161" s="395">
        <f>SUM(O161:R161)</f>
        <v>5951007.3600000003</v>
      </c>
      <c r="O161" s="150">
        <f>G161*K161</f>
        <v>5951007.3600000003</v>
      </c>
      <c r="P161" s="395" t="s">
        <v>26</v>
      </c>
      <c r="Q161" s="395"/>
      <c r="R161" s="150" t="s">
        <v>26</v>
      </c>
      <c r="S161" s="396"/>
      <c r="T161" s="149">
        <f>H161*J161</f>
        <v>5951007.3600000003</v>
      </c>
      <c r="U161" s="149">
        <f>I161*J161</f>
        <v>5951007.3600000003</v>
      </c>
    </row>
    <row r="162" spans="1:31" ht="48" customHeight="1" x14ac:dyDescent="0.25">
      <c r="A162" s="816"/>
      <c r="B162" s="824"/>
      <c r="C162" s="840"/>
      <c r="D162" s="433" t="s">
        <v>235</v>
      </c>
      <c r="E162" s="394">
        <v>46667</v>
      </c>
      <c r="F162" s="611">
        <v>46667</v>
      </c>
      <c r="G162" s="699">
        <v>51160</v>
      </c>
      <c r="H162" s="704">
        <f>46667+4493</f>
        <v>51160</v>
      </c>
      <c r="I162" s="704">
        <f>46667+4493</f>
        <v>51160</v>
      </c>
      <c r="J162" s="394">
        <f>K162</f>
        <v>116.32148866301799</v>
      </c>
      <c r="K162" s="394">
        <f>N162/G162</f>
        <v>116.32148866301799</v>
      </c>
      <c r="L162" s="393" t="s">
        <v>26</v>
      </c>
      <c r="M162" s="394" t="s">
        <v>26</v>
      </c>
      <c r="N162" s="393">
        <f>N161</f>
        <v>5951007.3600000003</v>
      </c>
      <c r="O162" s="393">
        <f>O161</f>
        <v>5951007.3600000003</v>
      </c>
      <c r="P162" s="393" t="s">
        <v>26</v>
      </c>
      <c r="Q162" s="393"/>
      <c r="R162" s="394" t="s">
        <v>26</v>
      </c>
      <c r="S162" s="393"/>
      <c r="T162" s="394">
        <f>T161/G162*H162</f>
        <v>5951007.3600000003</v>
      </c>
      <c r="U162" s="394">
        <f>U161/G162*I162</f>
        <v>5951007.3600000003</v>
      </c>
    </row>
    <row r="163" spans="1:31" ht="18.600000000000001" customHeight="1" x14ac:dyDescent="0.25">
      <c r="A163" s="816"/>
      <c r="B163" s="390"/>
      <c r="C163" s="401" t="s">
        <v>38</v>
      </c>
      <c r="D163" s="409"/>
      <c r="E163" s="607">
        <f>SUM(E161:E161)</f>
        <v>1161</v>
      </c>
      <c r="F163" s="607">
        <f>SUM(F161:F161)</f>
        <v>1161</v>
      </c>
      <c r="G163" s="607">
        <f>SUM(G161:G161)</f>
        <v>1161</v>
      </c>
      <c r="H163" s="444">
        <f>SUM(H161:H161)</f>
        <v>1161</v>
      </c>
      <c r="I163" s="444">
        <f>SUM(I161:I161)</f>
        <v>1161</v>
      </c>
      <c r="J163" s="395" t="s">
        <v>26</v>
      </c>
      <c r="K163" s="395" t="s">
        <v>26</v>
      </c>
      <c r="L163" s="395" t="s">
        <v>26</v>
      </c>
      <c r="M163" s="150">
        <f t="shared" ref="M163:U163" si="55">SUM(M161:M161)</f>
        <v>0</v>
      </c>
      <c r="N163" s="413">
        <f>SUM(N161:N161)</f>
        <v>5951007.3600000003</v>
      </c>
      <c r="O163" s="395">
        <f t="shared" si="55"/>
        <v>5951007.3600000003</v>
      </c>
      <c r="P163" s="395">
        <f t="shared" si="55"/>
        <v>0</v>
      </c>
      <c r="Q163" s="395"/>
      <c r="R163" s="150">
        <f t="shared" si="55"/>
        <v>0</v>
      </c>
      <c r="S163" s="396"/>
      <c r="T163" s="395">
        <f t="shared" si="55"/>
        <v>5951007.3600000003</v>
      </c>
      <c r="U163" s="395">
        <f t="shared" si="55"/>
        <v>5951007.3600000003</v>
      </c>
      <c r="V163" s="25"/>
      <c r="W163" s="25"/>
      <c r="X163" s="25"/>
    </row>
    <row r="164" spans="1:31" ht="27.6" x14ac:dyDescent="0.25">
      <c r="A164" s="816"/>
      <c r="B164" s="434" t="s">
        <v>45</v>
      </c>
      <c r="C164" s="27" t="s">
        <v>44</v>
      </c>
      <c r="D164" s="410" t="s">
        <v>46</v>
      </c>
      <c r="E164" s="607"/>
      <c r="F164" s="607"/>
      <c r="G164" s="11">
        <v>0</v>
      </c>
      <c r="H164" s="607"/>
      <c r="I164" s="607"/>
      <c r="J164" s="395"/>
      <c r="K164" s="395"/>
      <c r="L164" s="150">
        <v>263700.28000000003</v>
      </c>
      <c r="M164" s="150"/>
      <c r="N164" s="395">
        <f>P164</f>
        <v>0</v>
      </c>
      <c r="O164" s="395"/>
      <c r="P164" s="395">
        <f>G164*L164</f>
        <v>0</v>
      </c>
      <c r="Q164" s="395"/>
      <c r="R164" s="150"/>
      <c r="S164" s="396"/>
      <c r="T164" s="149">
        <f>P164</f>
        <v>0</v>
      </c>
      <c r="U164" s="149">
        <f t="shared" ref="U164:U170" si="56">T164</f>
        <v>0</v>
      </c>
      <c r="V164" s="25"/>
      <c r="W164" s="25"/>
    </row>
    <row r="165" spans="1:31" ht="27.6" hidden="1" x14ac:dyDescent="0.25">
      <c r="A165" s="816"/>
      <c r="B165" s="434" t="s">
        <v>45</v>
      </c>
      <c r="C165" s="27" t="s">
        <v>44</v>
      </c>
      <c r="D165" s="410" t="s">
        <v>46</v>
      </c>
      <c r="E165" s="607"/>
      <c r="F165" s="607"/>
      <c r="G165" s="11">
        <f t="shared" ref="G165:G167" si="57">((E165*8)+(F165*4))/12</f>
        <v>0</v>
      </c>
      <c r="H165" s="444">
        <v>14</v>
      </c>
      <c r="I165" s="444">
        <v>14</v>
      </c>
      <c r="J165" s="395"/>
      <c r="K165" s="395"/>
      <c r="L165" s="150"/>
      <c r="M165" s="150"/>
      <c r="N165" s="395">
        <f t="shared" ref="N165:N168" si="58">P165</f>
        <v>0</v>
      </c>
      <c r="O165" s="395"/>
      <c r="P165" s="395">
        <f t="shared" ref="P165:P168" si="59">G165*L165</f>
        <v>0</v>
      </c>
      <c r="Q165" s="395"/>
      <c r="R165" s="150"/>
      <c r="S165" s="396"/>
      <c r="T165" s="149"/>
      <c r="U165" s="149">
        <f t="shared" si="56"/>
        <v>0</v>
      </c>
    </row>
    <row r="166" spans="1:31" ht="27.6" hidden="1" x14ac:dyDescent="0.25">
      <c r="A166" s="816"/>
      <c r="B166" s="434" t="s">
        <v>45</v>
      </c>
      <c r="C166" s="27" t="s">
        <v>44</v>
      </c>
      <c r="D166" s="410" t="s">
        <v>46</v>
      </c>
      <c r="E166" s="607"/>
      <c r="F166" s="607"/>
      <c r="G166" s="11">
        <f t="shared" si="57"/>
        <v>0</v>
      </c>
      <c r="H166" s="444"/>
      <c r="I166" s="444"/>
      <c r="J166" s="395"/>
      <c r="K166" s="395"/>
      <c r="L166" s="150"/>
      <c r="M166" s="150"/>
      <c r="N166" s="395">
        <f t="shared" si="58"/>
        <v>0</v>
      </c>
      <c r="O166" s="395"/>
      <c r="P166" s="395">
        <f t="shared" si="59"/>
        <v>0</v>
      </c>
      <c r="Q166" s="395"/>
      <c r="R166" s="150"/>
      <c r="S166" s="396"/>
      <c r="T166" s="149">
        <f>Q166</f>
        <v>0</v>
      </c>
      <c r="U166" s="149">
        <f t="shared" si="56"/>
        <v>0</v>
      </c>
    </row>
    <row r="167" spans="1:31" ht="27.6" hidden="1" x14ac:dyDescent="0.25">
      <c r="A167" s="816"/>
      <c r="B167" s="434" t="s">
        <v>45</v>
      </c>
      <c r="C167" s="27" t="s">
        <v>44</v>
      </c>
      <c r="D167" s="410" t="s">
        <v>46</v>
      </c>
      <c r="E167" s="607"/>
      <c r="F167" s="607"/>
      <c r="G167" s="11">
        <f t="shared" si="57"/>
        <v>0</v>
      </c>
      <c r="H167" s="444">
        <v>14</v>
      </c>
      <c r="I167" s="444">
        <v>14</v>
      </c>
      <c r="J167" s="395"/>
      <c r="K167" s="395"/>
      <c r="L167" s="150"/>
      <c r="M167" s="150"/>
      <c r="N167" s="395">
        <f t="shared" si="58"/>
        <v>0</v>
      </c>
      <c r="O167" s="395"/>
      <c r="P167" s="395">
        <f t="shared" si="59"/>
        <v>0</v>
      </c>
      <c r="Q167" s="395"/>
      <c r="R167" s="150"/>
      <c r="S167" s="396"/>
      <c r="T167" s="149"/>
      <c r="U167" s="149"/>
    </row>
    <row r="168" spans="1:31" ht="27.6" x14ac:dyDescent="0.25">
      <c r="A168" s="816"/>
      <c r="B168" s="434" t="s">
        <v>45</v>
      </c>
      <c r="C168" s="27" t="s">
        <v>44</v>
      </c>
      <c r="D168" s="410" t="s">
        <v>46</v>
      </c>
      <c r="E168" s="607">
        <f>9-1</f>
        <v>8</v>
      </c>
      <c r="F168" s="607">
        <f>9-1</f>
        <v>8</v>
      </c>
      <c r="G168" s="11">
        <v>8</v>
      </c>
      <c r="H168" s="607">
        <f>9-1</f>
        <v>8</v>
      </c>
      <c r="I168" s="607">
        <f>9-1</f>
        <v>8</v>
      </c>
      <c r="J168" s="395"/>
      <c r="K168" s="395"/>
      <c r="L168" s="150">
        <v>316440.09999999998</v>
      </c>
      <c r="M168" s="150"/>
      <c r="N168" s="395">
        <f t="shared" si="58"/>
        <v>2531520.7999999998</v>
      </c>
      <c r="O168" s="395"/>
      <c r="P168" s="395">
        <f t="shared" si="59"/>
        <v>2531520.7999999998</v>
      </c>
      <c r="Q168" s="395"/>
      <c r="R168" s="150"/>
      <c r="S168" s="396"/>
      <c r="T168" s="149">
        <f>H168*L168</f>
        <v>2531520.7999999998</v>
      </c>
      <c r="U168" s="149">
        <f>I168*L168</f>
        <v>2531520.7999999998</v>
      </c>
    </row>
    <row r="169" spans="1:31" ht="14.4" customHeight="1" x14ac:dyDescent="0.25">
      <c r="A169" s="816"/>
      <c r="B169" s="27" t="s">
        <v>47</v>
      </c>
      <c r="C169" s="27" t="s">
        <v>44</v>
      </c>
      <c r="D169" s="19"/>
      <c r="E169" s="607">
        <v>20</v>
      </c>
      <c r="F169" s="607">
        <v>20</v>
      </c>
      <c r="G169" s="607">
        <v>20</v>
      </c>
      <c r="H169" s="444">
        <v>20</v>
      </c>
      <c r="I169" s="444">
        <v>20</v>
      </c>
      <c r="J169" s="395"/>
      <c r="K169" s="395"/>
      <c r="L169" s="395"/>
      <c r="M169" s="150"/>
      <c r="N169" s="449">
        <f>SUM(O169:R169)</f>
        <v>4687200</v>
      </c>
      <c r="O169" s="150">
        <f>O159+O153+O142</f>
        <v>4687200</v>
      </c>
      <c r="P169" s="395"/>
      <c r="Q169" s="395"/>
      <c r="R169" s="150"/>
      <c r="S169" s="396"/>
      <c r="T169" s="149">
        <f>T159+T153+T142</f>
        <v>0</v>
      </c>
      <c r="U169" s="149">
        <f>U159+U153+U142</f>
        <v>0</v>
      </c>
    </row>
    <row r="170" spans="1:31" hidden="1" x14ac:dyDescent="0.25">
      <c r="A170" s="816"/>
      <c r="B170" s="27" t="s">
        <v>48</v>
      </c>
      <c r="C170" s="27" t="s">
        <v>44</v>
      </c>
      <c r="D170" s="19"/>
      <c r="E170" s="607"/>
      <c r="F170" s="607"/>
      <c r="G170" s="607"/>
      <c r="H170" s="444"/>
      <c r="I170" s="444"/>
      <c r="J170" s="395"/>
      <c r="K170" s="395"/>
      <c r="L170" s="395"/>
      <c r="M170" s="150"/>
      <c r="N170" s="395">
        <f>O170</f>
        <v>0</v>
      </c>
      <c r="O170" s="395"/>
      <c r="P170" s="395"/>
      <c r="Q170" s="395"/>
      <c r="R170" s="150"/>
      <c r="S170" s="396"/>
      <c r="T170" s="149">
        <f>O170</f>
        <v>0</v>
      </c>
      <c r="U170" s="149">
        <f t="shared" si="56"/>
        <v>0</v>
      </c>
    </row>
    <row r="171" spans="1:31" hidden="1" x14ac:dyDescent="0.25">
      <c r="A171" s="816"/>
      <c r="B171" s="27" t="s">
        <v>49</v>
      </c>
      <c r="C171" s="27" t="s">
        <v>44</v>
      </c>
      <c r="D171" s="19"/>
      <c r="E171" s="607"/>
      <c r="F171" s="607"/>
      <c r="G171" s="607"/>
      <c r="H171" s="444"/>
      <c r="I171" s="444"/>
      <c r="J171" s="395"/>
      <c r="K171" s="395"/>
      <c r="L171" s="395"/>
      <c r="M171" s="150"/>
      <c r="N171" s="395">
        <f>P171</f>
        <v>0</v>
      </c>
      <c r="O171" s="395"/>
      <c r="P171" s="395"/>
      <c r="Q171" s="395"/>
      <c r="R171" s="150"/>
      <c r="S171" s="396"/>
      <c r="T171" s="149"/>
      <c r="U171" s="149">
        <f>T171</f>
        <v>0</v>
      </c>
    </row>
    <row r="172" spans="1:31" ht="26.4" customHeight="1" x14ac:dyDescent="0.25">
      <c r="A172" s="817"/>
      <c r="B172" s="423" t="s">
        <v>50</v>
      </c>
      <c r="C172" s="423"/>
      <c r="D172" s="409"/>
      <c r="E172" s="610">
        <f>E143+E154+E160</f>
        <v>521</v>
      </c>
      <c r="F172" s="610">
        <f>F143+F154+F160</f>
        <v>513</v>
      </c>
      <c r="G172" s="760">
        <f>G143+G154+G160</f>
        <v>513</v>
      </c>
      <c r="H172" s="760">
        <f>H143+H154+H160</f>
        <v>513</v>
      </c>
      <c r="I172" s="760">
        <f>I143+I154+I160</f>
        <v>513</v>
      </c>
      <c r="J172" s="413"/>
      <c r="K172" s="413"/>
      <c r="L172" s="413"/>
      <c r="M172" s="153"/>
      <c r="N172" s="413">
        <f>SUM(O172:S172)</f>
        <v>74060144.659999996</v>
      </c>
      <c r="O172" s="153">
        <f>O143+O154+O160+O163+O170</f>
        <v>49232694.809999995</v>
      </c>
      <c r="P172" s="413">
        <f>P143+P154+P160+P163+P164+P165+P166+P168+P171</f>
        <v>9850891.9400000013</v>
      </c>
      <c r="Q172" s="413">
        <f>Q143+Q154+Q160+Q163+Q164+Q165+Q166</f>
        <v>0</v>
      </c>
      <c r="R172" s="646">
        <f>R143+R154+R160+R163+R164+R165+R166+R167</f>
        <v>14976557.909999998</v>
      </c>
      <c r="S172" s="422">
        <f>S143+S154+S160+S163+S164+S165+S166+S167</f>
        <v>0</v>
      </c>
      <c r="T172" s="422">
        <f>T143+T154+T160+T163+T164+T165+T166+T167+T168+T169+T170+T171</f>
        <v>69372944.659999996</v>
      </c>
      <c r="U172" s="422">
        <f>U143+U154+U160+U163+U164+U165+U166+U167+U168+U169+U170+U171</f>
        <v>69372944.659999996</v>
      </c>
      <c r="X172" s="25"/>
      <c r="AB172" s="25"/>
    </row>
    <row r="173" spans="1:31" ht="73.2" customHeight="1" x14ac:dyDescent="0.25">
      <c r="A173" s="815" t="s">
        <v>61</v>
      </c>
      <c r="B173" s="818" t="s">
        <v>112</v>
      </c>
      <c r="C173" s="22" t="s">
        <v>23</v>
      </c>
      <c r="D173" s="19" t="s">
        <v>24</v>
      </c>
      <c r="E173" s="415">
        <v>309</v>
      </c>
      <c r="F173" s="683">
        <f>309-7</f>
        <v>302</v>
      </c>
      <c r="G173" s="415">
        <f>283+19</f>
        <v>302</v>
      </c>
      <c r="H173" s="415">
        <f>283+19</f>
        <v>302</v>
      </c>
      <c r="I173" s="415">
        <f>283+19</f>
        <v>302</v>
      </c>
      <c r="J173" s="384">
        <f>SUM(K173:M173)</f>
        <v>81778.579999999987</v>
      </c>
      <c r="K173" s="14">
        <f>36390.31+2198.86</f>
        <v>38589.17</v>
      </c>
      <c r="L173" s="14">
        <v>13995.34</v>
      </c>
      <c r="M173" s="479">
        <v>29194.07</v>
      </c>
      <c r="N173" s="427">
        <f>SUM(O173:R173)</f>
        <v>24697131.16</v>
      </c>
      <c r="O173" s="427">
        <f>G173*K173</f>
        <v>11653929.34</v>
      </c>
      <c r="P173" s="427">
        <f>G173*L173</f>
        <v>4226592.68</v>
      </c>
      <c r="Q173" s="427"/>
      <c r="R173" s="150">
        <f>G173*M173</f>
        <v>8816609.1400000006</v>
      </c>
      <c r="S173" s="149"/>
      <c r="T173" s="149">
        <f>W173</f>
        <v>24697131.16</v>
      </c>
      <c r="U173" s="149">
        <f>AB173</f>
        <v>24697131.16</v>
      </c>
      <c r="W173" s="449">
        <f>SUM(X173:AA173)</f>
        <v>24697131.16</v>
      </c>
      <c r="X173" s="395">
        <f>H173*K173</f>
        <v>11653929.34</v>
      </c>
      <c r="Y173" s="14">
        <f>H173*L173</f>
        <v>4226592.68</v>
      </c>
      <c r="Z173" s="395">
        <f>H173*M173</f>
        <v>8816609.1400000006</v>
      </c>
      <c r="AB173" s="449">
        <f>SUM(AC173:AF173)</f>
        <v>24697131.16</v>
      </c>
      <c r="AC173" s="395">
        <f>I173*K173</f>
        <v>11653929.34</v>
      </c>
      <c r="AD173" s="14">
        <f>I173*L173</f>
        <v>4226592.68</v>
      </c>
      <c r="AE173" s="395">
        <f>I173*M173</f>
        <v>8816609.1400000006</v>
      </c>
    </row>
    <row r="174" spans="1:31" ht="86.4" customHeight="1" x14ac:dyDescent="0.25">
      <c r="A174" s="816"/>
      <c r="B174" s="819"/>
      <c r="C174" s="22" t="s">
        <v>25</v>
      </c>
      <c r="D174" s="400" t="s">
        <v>24</v>
      </c>
      <c r="E174" s="10" t="s">
        <v>26</v>
      </c>
      <c r="F174" s="10" t="s">
        <v>26</v>
      </c>
      <c r="G174" s="11" t="s">
        <v>26</v>
      </c>
      <c r="H174" s="415" t="s">
        <v>26</v>
      </c>
      <c r="I174" s="415" t="s">
        <v>26</v>
      </c>
      <c r="J174" s="426" t="s">
        <v>26</v>
      </c>
      <c r="K174" s="426" t="s">
        <v>26</v>
      </c>
      <c r="L174" s="426" t="s">
        <v>26</v>
      </c>
      <c r="M174" s="415" t="s">
        <v>26</v>
      </c>
      <c r="N174" s="427"/>
      <c r="O174" s="427"/>
      <c r="P174" s="426" t="s">
        <v>26</v>
      </c>
      <c r="Q174" s="426"/>
      <c r="R174" s="415" t="s">
        <v>26</v>
      </c>
      <c r="S174" s="10"/>
      <c r="T174" s="149"/>
      <c r="U174" s="149"/>
      <c r="AB174" s="25"/>
    </row>
    <row r="175" spans="1:31" x14ac:dyDescent="0.25">
      <c r="A175" s="816"/>
      <c r="B175" s="819"/>
      <c r="C175" s="385" t="s">
        <v>27</v>
      </c>
      <c r="D175" s="400" t="s">
        <v>24</v>
      </c>
      <c r="E175" s="10"/>
      <c r="F175" s="10"/>
      <c r="G175" s="11"/>
      <c r="H175" s="11"/>
      <c r="I175" s="11"/>
      <c r="J175" s="150">
        <f t="shared" ref="J175:J181" si="60">K175</f>
        <v>148440.13</v>
      </c>
      <c r="K175" s="14">
        <v>148440.13</v>
      </c>
      <c r="L175" s="426" t="s">
        <v>26</v>
      </c>
      <c r="M175" s="415" t="s">
        <v>26</v>
      </c>
      <c r="N175" s="427">
        <f t="shared" ref="N175:N181" si="61">O175</f>
        <v>0</v>
      </c>
      <c r="O175" s="427">
        <f>G175*K175</f>
        <v>0</v>
      </c>
      <c r="P175" s="426" t="s">
        <v>26</v>
      </c>
      <c r="Q175" s="426"/>
      <c r="R175" s="415"/>
      <c r="S175" s="10"/>
      <c r="T175" s="149">
        <f t="shared" ref="T175:T181" si="62">H175*K175</f>
        <v>0</v>
      </c>
      <c r="U175" s="149">
        <f t="shared" ref="U175:U181" si="63">I175*K175</f>
        <v>0</v>
      </c>
      <c r="AB175" s="25"/>
    </row>
    <row r="176" spans="1:31" x14ac:dyDescent="0.25">
      <c r="A176" s="816"/>
      <c r="B176" s="819"/>
      <c r="C176" s="385" t="s">
        <v>28</v>
      </c>
      <c r="D176" s="400" t="s">
        <v>24</v>
      </c>
      <c r="E176" s="11">
        <f>16-2</f>
        <v>14</v>
      </c>
      <c r="F176" s="682">
        <f>16-3</f>
        <v>13</v>
      </c>
      <c r="G176" s="11">
        <f>13-1</f>
        <v>12</v>
      </c>
      <c r="H176" s="11">
        <v>12</v>
      </c>
      <c r="I176" s="11">
        <v>12</v>
      </c>
      <c r="J176" s="150">
        <f t="shared" si="60"/>
        <v>164394.18</v>
      </c>
      <c r="K176" s="14">
        <v>164394.18</v>
      </c>
      <c r="L176" s="426" t="s">
        <v>26</v>
      </c>
      <c r="M176" s="415" t="s">
        <v>26</v>
      </c>
      <c r="N176" s="427">
        <f t="shared" si="61"/>
        <v>1972730.16</v>
      </c>
      <c r="O176" s="427">
        <f t="shared" ref="O176:O181" si="64">G176*K176</f>
        <v>1972730.16</v>
      </c>
      <c r="P176" s="426" t="s">
        <v>26</v>
      </c>
      <c r="Q176" s="426"/>
      <c r="R176" s="415" t="s">
        <v>26</v>
      </c>
      <c r="S176" s="10"/>
      <c r="T176" s="149">
        <f t="shared" si="62"/>
        <v>1972730.16</v>
      </c>
      <c r="U176" s="149">
        <f t="shared" si="63"/>
        <v>1972730.16</v>
      </c>
      <c r="AB176" s="25"/>
    </row>
    <row r="177" spans="1:31" x14ac:dyDescent="0.25">
      <c r="A177" s="816"/>
      <c r="B177" s="819"/>
      <c r="C177" s="385" t="s">
        <v>29</v>
      </c>
      <c r="D177" s="400" t="s">
        <v>24</v>
      </c>
      <c r="E177" s="11"/>
      <c r="F177" s="682"/>
      <c r="G177" s="11"/>
      <c r="H177" s="11"/>
      <c r="I177" s="11"/>
      <c r="J177" s="150">
        <f t="shared" si="60"/>
        <v>196302.28</v>
      </c>
      <c r="K177" s="14">
        <v>196302.28</v>
      </c>
      <c r="L177" s="426" t="s">
        <v>26</v>
      </c>
      <c r="M177" s="415" t="s">
        <v>26</v>
      </c>
      <c r="N177" s="427">
        <f t="shared" si="61"/>
        <v>0</v>
      </c>
      <c r="O177" s="427">
        <f t="shared" si="64"/>
        <v>0</v>
      </c>
      <c r="P177" s="426"/>
      <c r="Q177" s="426"/>
      <c r="R177" s="415"/>
      <c r="S177" s="10"/>
      <c r="T177" s="149">
        <f>H177*K177</f>
        <v>0</v>
      </c>
      <c r="U177" s="149">
        <f t="shared" si="63"/>
        <v>0</v>
      </c>
    </row>
    <row r="178" spans="1:31" x14ac:dyDescent="0.25">
      <c r="A178" s="816"/>
      <c r="B178" s="819"/>
      <c r="C178" s="385" t="s">
        <v>30</v>
      </c>
      <c r="D178" s="400" t="s">
        <v>24</v>
      </c>
      <c r="E178" s="11">
        <f>11-2</f>
        <v>9</v>
      </c>
      <c r="F178" s="682">
        <f>11-5</f>
        <v>6</v>
      </c>
      <c r="G178" s="11">
        <f>9-3</f>
        <v>6</v>
      </c>
      <c r="H178" s="11">
        <v>6</v>
      </c>
      <c r="I178" s="11">
        <v>6</v>
      </c>
      <c r="J178" s="150">
        <f t="shared" si="60"/>
        <v>162574.21</v>
      </c>
      <c r="K178" s="150">
        <v>162574.21</v>
      </c>
      <c r="L178" s="426" t="s">
        <v>26</v>
      </c>
      <c r="M178" s="415" t="s">
        <v>26</v>
      </c>
      <c r="N178" s="427">
        <f t="shared" si="61"/>
        <v>975445.26</v>
      </c>
      <c r="O178" s="427">
        <f t="shared" si="64"/>
        <v>975445.26</v>
      </c>
      <c r="P178" s="426" t="s">
        <v>26</v>
      </c>
      <c r="Q178" s="426"/>
      <c r="R178" s="415" t="s">
        <v>26</v>
      </c>
      <c r="S178" s="10"/>
      <c r="T178" s="149">
        <f t="shared" si="62"/>
        <v>975445.26</v>
      </c>
      <c r="U178" s="149">
        <f t="shared" si="63"/>
        <v>975445.26</v>
      </c>
    </row>
    <row r="179" spans="1:31" x14ac:dyDescent="0.25">
      <c r="A179" s="816"/>
      <c r="B179" s="819"/>
      <c r="C179" s="385" t="s">
        <v>31</v>
      </c>
      <c r="D179" s="400" t="s">
        <v>24</v>
      </c>
      <c r="E179" s="445"/>
      <c r="F179" s="682">
        <v>1</v>
      </c>
      <c r="G179" s="11">
        <v>1</v>
      </c>
      <c r="H179" s="11">
        <v>1</v>
      </c>
      <c r="I179" s="11">
        <v>1</v>
      </c>
      <c r="J179" s="150">
        <f t="shared" si="60"/>
        <v>180348.22</v>
      </c>
      <c r="K179" s="150">
        <v>180348.22</v>
      </c>
      <c r="L179" s="426" t="s">
        <v>26</v>
      </c>
      <c r="M179" s="415" t="s">
        <v>26</v>
      </c>
      <c r="N179" s="427">
        <f t="shared" si="61"/>
        <v>180348.22</v>
      </c>
      <c r="O179" s="427">
        <f t="shared" si="64"/>
        <v>180348.22</v>
      </c>
      <c r="P179" s="426" t="s">
        <v>26</v>
      </c>
      <c r="Q179" s="426"/>
      <c r="R179" s="415" t="s">
        <v>26</v>
      </c>
      <c r="S179" s="10"/>
      <c r="T179" s="149">
        <f t="shared" si="62"/>
        <v>180348.22</v>
      </c>
      <c r="U179" s="149">
        <f t="shared" si="63"/>
        <v>180348.22</v>
      </c>
    </row>
    <row r="180" spans="1:31" x14ac:dyDescent="0.25">
      <c r="A180" s="816"/>
      <c r="B180" s="819"/>
      <c r="C180" s="385" t="s">
        <v>33</v>
      </c>
      <c r="D180" s="400" t="s">
        <v>24</v>
      </c>
      <c r="E180" s="10"/>
      <c r="F180" s="10"/>
      <c r="G180" s="11"/>
      <c r="H180" s="415"/>
      <c r="I180" s="415"/>
      <c r="J180" s="150">
        <f t="shared" si="60"/>
        <v>202178.64</v>
      </c>
      <c r="K180" s="150">
        <v>202178.64</v>
      </c>
      <c r="L180" s="426" t="s">
        <v>26</v>
      </c>
      <c r="M180" s="415" t="s">
        <v>26</v>
      </c>
      <c r="N180" s="427">
        <f t="shared" si="61"/>
        <v>0</v>
      </c>
      <c r="O180" s="427">
        <f t="shared" si="64"/>
        <v>0</v>
      </c>
      <c r="P180" s="426" t="s">
        <v>26</v>
      </c>
      <c r="Q180" s="426"/>
      <c r="R180" s="415" t="s">
        <v>26</v>
      </c>
      <c r="S180" s="10"/>
      <c r="T180" s="149">
        <f t="shared" si="62"/>
        <v>0</v>
      </c>
      <c r="U180" s="149">
        <f t="shared" si="63"/>
        <v>0</v>
      </c>
    </row>
    <row r="181" spans="1:31" x14ac:dyDescent="0.25">
      <c r="A181" s="816"/>
      <c r="B181" s="819"/>
      <c r="C181" s="385" t="s">
        <v>34</v>
      </c>
      <c r="D181" s="400" t="s">
        <v>24</v>
      </c>
      <c r="E181" s="10"/>
      <c r="F181" s="10"/>
      <c r="G181" s="11"/>
      <c r="H181" s="415"/>
      <c r="I181" s="415"/>
      <c r="J181" s="150">
        <f t="shared" si="60"/>
        <v>146900.85999999999</v>
      </c>
      <c r="K181" s="150">
        <v>146900.85999999999</v>
      </c>
      <c r="L181" s="426" t="s">
        <v>26</v>
      </c>
      <c r="M181" s="415" t="s">
        <v>26</v>
      </c>
      <c r="N181" s="427">
        <f t="shared" si="61"/>
        <v>0</v>
      </c>
      <c r="O181" s="427">
        <f t="shared" si="64"/>
        <v>0</v>
      </c>
      <c r="P181" s="426" t="s">
        <v>26</v>
      </c>
      <c r="Q181" s="426"/>
      <c r="R181" s="415" t="s">
        <v>26</v>
      </c>
      <c r="S181" s="10"/>
      <c r="T181" s="149">
        <f t="shared" si="62"/>
        <v>0</v>
      </c>
      <c r="U181" s="149">
        <f t="shared" si="63"/>
        <v>0</v>
      </c>
    </row>
    <row r="182" spans="1:31" ht="82.95" customHeight="1" x14ac:dyDescent="0.25">
      <c r="A182" s="816"/>
      <c r="B182" s="819"/>
      <c r="C182" s="405" t="s">
        <v>35</v>
      </c>
      <c r="D182" s="19" t="s">
        <v>24</v>
      </c>
      <c r="E182" s="415">
        <v>1</v>
      </c>
      <c r="F182" s="683">
        <v>1</v>
      </c>
      <c r="G182" s="415">
        <v>1</v>
      </c>
      <c r="H182" s="415">
        <v>1</v>
      </c>
      <c r="I182" s="415">
        <v>1</v>
      </c>
      <c r="J182" s="150">
        <f>SUM(K182:M182)</f>
        <v>490504.84</v>
      </c>
      <c r="K182" s="150">
        <f>445116.57+2198.86</f>
        <v>447315.43</v>
      </c>
      <c r="L182" s="14">
        <v>13995.34</v>
      </c>
      <c r="M182" s="479">
        <v>29194.07</v>
      </c>
      <c r="N182" s="429">
        <f>SUM(O182:R182)</f>
        <v>490504.84</v>
      </c>
      <c r="O182" s="429">
        <f>G182*K182</f>
        <v>447315.43</v>
      </c>
      <c r="P182" s="643">
        <f>G182*L182</f>
        <v>13995.34</v>
      </c>
      <c r="Q182" s="429"/>
      <c r="R182" s="150">
        <f>G182*M182</f>
        <v>29194.07</v>
      </c>
      <c r="S182" s="149"/>
      <c r="T182" s="149">
        <f>W182</f>
        <v>490504.84</v>
      </c>
      <c r="U182" s="149">
        <f>AB182</f>
        <v>490504.84</v>
      </c>
      <c r="W182" s="449">
        <f>SUM(X182:AA182)</f>
        <v>490504.84</v>
      </c>
      <c r="X182" s="395">
        <f>H182*K182</f>
        <v>447315.43</v>
      </c>
      <c r="Y182" s="14">
        <f>H182*L182</f>
        <v>13995.34</v>
      </c>
      <c r="Z182" s="395">
        <f>H182*M182</f>
        <v>29194.07</v>
      </c>
      <c r="AB182" s="449">
        <f>SUM(AC182:AF182)</f>
        <v>490504.84</v>
      </c>
      <c r="AC182" s="395">
        <f>I182*K182</f>
        <v>447315.43</v>
      </c>
      <c r="AD182" s="14">
        <f>I182*L182</f>
        <v>13995.34</v>
      </c>
      <c r="AE182" s="395">
        <f>I182*M182</f>
        <v>29194.07</v>
      </c>
    </row>
    <row r="183" spans="1:31" ht="82.95" customHeight="1" x14ac:dyDescent="0.25">
      <c r="A183" s="816"/>
      <c r="B183" s="819"/>
      <c r="C183" s="405" t="s">
        <v>62</v>
      </c>
      <c r="D183" s="19" t="s">
        <v>24</v>
      </c>
      <c r="E183" s="11">
        <v>0</v>
      </c>
      <c r="F183" s="11">
        <v>0</v>
      </c>
      <c r="G183" s="11">
        <v>0</v>
      </c>
      <c r="H183" s="415">
        <v>0</v>
      </c>
      <c r="I183" s="415">
        <v>0</v>
      </c>
      <c r="J183" s="150">
        <f>K183</f>
        <v>39242.36</v>
      </c>
      <c r="K183" s="150">
        <v>39242.36</v>
      </c>
      <c r="L183" s="150" t="s">
        <v>26</v>
      </c>
      <c r="M183" s="150" t="s">
        <v>26</v>
      </c>
      <c r="N183" s="429">
        <f>SUM(O183:R183)</f>
        <v>0</v>
      </c>
      <c r="O183" s="429">
        <f>G183*K183</f>
        <v>0</v>
      </c>
      <c r="P183" s="429"/>
      <c r="Q183" s="429"/>
      <c r="R183" s="14"/>
      <c r="S183" s="430"/>
      <c r="T183" s="149">
        <f>H183*J183</f>
        <v>0</v>
      </c>
      <c r="U183" s="149">
        <f>I183*J183</f>
        <v>0</v>
      </c>
      <c r="AB183" s="25"/>
    </row>
    <row r="184" spans="1:31" ht="21" customHeight="1" x14ac:dyDescent="0.25">
      <c r="A184" s="816"/>
      <c r="B184" s="819"/>
      <c r="C184" s="419" t="s">
        <v>58</v>
      </c>
      <c r="D184" s="19" t="s">
        <v>59</v>
      </c>
      <c r="E184" s="11">
        <v>12</v>
      </c>
      <c r="F184" s="11">
        <v>12</v>
      </c>
      <c r="G184" s="11">
        <v>12</v>
      </c>
      <c r="H184" s="415">
        <v>12</v>
      </c>
      <c r="I184" s="415">
        <v>12</v>
      </c>
      <c r="J184" s="150">
        <f>K184</f>
        <v>234360</v>
      </c>
      <c r="K184" s="150">
        <f>10000*1.5*1.302*12</f>
        <v>234360</v>
      </c>
      <c r="L184" s="150"/>
      <c r="M184" s="150"/>
      <c r="N184" s="478">
        <f>SUM(O184:R184)</f>
        <v>2812320</v>
      </c>
      <c r="O184" s="14">
        <f>G184*K184</f>
        <v>2812320</v>
      </c>
      <c r="P184" s="429"/>
      <c r="Q184" s="429"/>
      <c r="R184" s="14"/>
      <c r="S184" s="430"/>
      <c r="T184" s="149">
        <f>H184*K184-2812320</f>
        <v>0</v>
      </c>
      <c r="U184" s="149">
        <f>I184*K184-2812320</f>
        <v>0</v>
      </c>
      <c r="AB184" s="25"/>
    </row>
    <row r="185" spans="1:31" ht="26.4" customHeight="1" x14ac:dyDescent="0.25">
      <c r="A185" s="816"/>
      <c r="B185" s="820"/>
      <c r="C185" s="420" t="s">
        <v>38</v>
      </c>
      <c r="D185" s="19" t="s">
        <v>24</v>
      </c>
      <c r="E185" s="614">
        <f>E173+E182</f>
        <v>310</v>
      </c>
      <c r="F185" s="689">
        <f>F173+F182</f>
        <v>303</v>
      </c>
      <c r="G185" s="763">
        <f>G173+G182</f>
        <v>303</v>
      </c>
      <c r="H185" s="763">
        <f>H173+H182</f>
        <v>303</v>
      </c>
      <c r="I185" s="763">
        <f>I173+I182</f>
        <v>303</v>
      </c>
      <c r="J185" s="429" t="s">
        <v>26</v>
      </c>
      <c r="K185" s="429" t="s">
        <v>26</v>
      </c>
      <c r="L185" s="429" t="s">
        <v>26</v>
      </c>
      <c r="M185" s="14" t="s">
        <v>26</v>
      </c>
      <c r="N185" s="431">
        <f>SUM(N173:N184)</f>
        <v>31128479.640000001</v>
      </c>
      <c r="O185" s="431">
        <f t="shared" ref="O185:U185" si="65">SUM(O173:O184)</f>
        <v>18042088.41</v>
      </c>
      <c r="P185" s="431">
        <f t="shared" si="65"/>
        <v>4240588.0199999996</v>
      </c>
      <c r="Q185" s="431">
        <f t="shared" si="65"/>
        <v>0</v>
      </c>
      <c r="R185" s="775">
        <f t="shared" si="65"/>
        <v>8845803.2100000009</v>
      </c>
      <c r="S185" s="431">
        <f t="shared" si="65"/>
        <v>0</v>
      </c>
      <c r="T185" s="431">
        <f t="shared" si="65"/>
        <v>28316159.640000001</v>
      </c>
      <c r="U185" s="431">
        <f t="shared" si="65"/>
        <v>28316159.640000001</v>
      </c>
      <c r="AA185" s="25"/>
    </row>
    <row r="186" spans="1:31" ht="82.95" customHeight="1" x14ac:dyDescent="0.25">
      <c r="A186" s="816"/>
      <c r="B186" s="818" t="s">
        <v>443</v>
      </c>
      <c r="C186" s="22" t="s">
        <v>23</v>
      </c>
      <c r="D186" s="19" t="s">
        <v>24</v>
      </c>
      <c r="E186" s="693">
        <f>194+28</f>
        <v>222</v>
      </c>
      <c r="F186" s="682">
        <f>194-15</f>
        <v>179</v>
      </c>
      <c r="G186" s="11">
        <f>235+2</f>
        <v>237</v>
      </c>
      <c r="H186" s="11">
        <f>235+2</f>
        <v>237</v>
      </c>
      <c r="I186" s="11">
        <f>235+2</f>
        <v>237</v>
      </c>
      <c r="J186" s="384">
        <f>SUM(K186:M186)</f>
        <v>100085.29999999999</v>
      </c>
      <c r="K186" s="14">
        <f>54145.32+2750.57</f>
        <v>56895.89</v>
      </c>
      <c r="L186" s="14">
        <v>13995.34</v>
      </c>
      <c r="M186" s="479">
        <v>29194.07</v>
      </c>
      <c r="N186" s="429">
        <f>SUM(O186:R186)</f>
        <v>23720216.099999998</v>
      </c>
      <c r="O186" s="429">
        <f>G186*K186</f>
        <v>13484325.93</v>
      </c>
      <c r="P186" s="643">
        <f>G186*L186</f>
        <v>3316895.58</v>
      </c>
      <c r="Q186" s="429"/>
      <c r="R186" s="150">
        <f>G186*M186</f>
        <v>6918994.5899999999</v>
      </c>
      <c r="S186" s="149"/>
      <c r="T186" s="149">
        <f>W186</f>
        <v>23720216.099999998</v>
      </c>
      <c r="U186" s="149">
        <f>AB186</f>
        <v>23720216.099999998</v>
      </c>
      <c r="W186" s="449">
        <f>SUM(X186:AA186)</f>
        <v>23720216.099999998</v>
      </c>
      <c r="X186" s="395">
        <f>H186*K186</f>
        <v>13484325.93</v>
      </c>
      <c r="Y186" s="14">
        <f>H186*L186</f>
        <v>3316895.58</v>
      </c>
      <c r="Z186" s="395">
        <f>H186*M186</f>
        <v>6918994.5899999999</v>
      </c>
      <c r="AB186" s="449">
        <f>SUM(AC186:AF186)</f>
        <v>23720216.099999998</v>
      </c>
      <c r="AC186" s="395">
        <f>I186*K186</f>
        <v>13484325.93</v>
      </c>
      <c r="AD186" s="14">
        <f>I186*L186</f>
        <v>3316895.58</v>
      </c>
      <c r="AE186" s="395">
        <f>I186*M186</f>
        <v>6918994.5899999999</v>
      </c>
    </row>
    <row r="187" spans="1:31" ht="96.6" x14ac:dyDescent="0.25">
      <c r="A187" s="816"/>
      <c r="B187" s="819"/>
      <c r="C187" s="22" t="s">
        <v>63</v>
      </c>
      <c r="D187" s="19" t="s">
        <v>24</v>
      </c>
      <c r="E187" s="692">
        <f>182-29-60</f>
        <v>93</v>
      </c>
      <c r="F187" s="690">
        <f>182+16-60</f>
        <v>138</v>
      </c>
      <c r="G187" s="748">
        <f>141-60</f>
        <v>81</v>
      </c>
      <c r="H187" s="748">
        <f>141-60</f>
        <v>81</v>
      </c>
      <c r="I187" s="748">
        <f>141-60</f>
        <v>81</v>
      </c>
      <c r="J187" s="384">
        <f>SUM(K187:M187)</f>
        <v>106068.6</v>
      </c>
      <c r="K187" s="14">
        <f>60128.62+2750.57</f>
        <v>62879.19</v>
      </c>
      <c r="L187" s="14">
        <v>13995.34</v>
      </c>
      <c r="M187" s="479">
        <v>29194.07</v>
      </c>
      <c r="N187" s="429">
        <f>SUM(O187:R187)</f>
        <v>8591556.6000000015</v>
      </c>
      <c r="O187" s="429">
        <f>G187*K187</f>
        <v>5093214.3900000006</v>
      </c>
      <c r="P187" s="643">
        <f>G187*L187</f>
        <v>1133622.54</v>
      </c>
      <c r="Q187" s="429"/>
      <c r="R187" s="150">
        <f>G187*M187</f>
        <v>2364719.67</v>
      </c>
      <c r="S187" s="149"/>
      <c r="T187" s="149">
        <f>W187</f>
        <v>8591556.6000000015</v>
      </c>
      <c r="U187" s="149">
        <f>AB187</f>
        <v>8591556.6000000015</v>
      </c>
      <c r="W187" s="449">
        <f>SUM(X187:AA187)</f>
        <v>8591556.6000000015</v>
      </c>
      <c r="X187" s="395">
        <f>H187*K187</f>
        <v>5093214.3900000006</v>
      </c>
      <c r="Y187" s="14">
        <f>H187*L187</f>
        <v>1133622.54</v>
      </c>
      <c r="Z187" s="395">
        <f>H187*M187</f>
        <v>2364719.67</v>
      </c>
      <c r="AB187" s="449">
        <f>SUM(AC187:AF187)</f>
        <v>8591556.6000000015</v>
      </c>
      <c r="AC187" s="395">
        <f>I187*K187</f>
        <v>5093214.3900000006</v>
      </c>
      <c r="AD187" s="14">
        <f>I187*L187</f>
        <v>1133622.54</v>
      </c>
      <c r="AE187" s="395">
        <f>I187*M187</f>
        <v>2364719.67</v>
      </c>
    </row>
    <row r="188" spans="1:31" ht="96.6" x14ac:dyDescent="0.25">
      <c r="A188" s="816"/>
      <c r="B188" s="819"/>
      <c r="C188" s="605" t="s">
        <v>597</v>
      </c>
      <c r="D188" s="19"/>
      <c r="E188" s="692">
        <v>60</v>
      </c>
      <c r="F188" s="690">
        <v>60</v>
      </c>
      <c r="G188" s="748">
        <v>60</v>
      </c>
      <c r="H188" s="748">
        <v>60</v>
      </c>
      <c r="I188" s="748">
        <v>60</v>
      </c>
      <c r="J188" s="384">
        <f>SUM(K188:M188)</f>
        <v>172126.05000000002</v>
      </c>
      <c r="K188" s="14">
        <f>126186.07+2750.57</f>
        <v>128936.64000000001</v>
      </c>
      <c r="L188" s="14">
        <v>13995.34</v>
      </c>
      <c r="M188" s="479">
        <v>29194.07</v>
      </c>
      <c r="N188" s="786">
        <f>SUM(O188:R188)</f>
        <v>10327563</v>
      </c>
      <c r="O188" s="786">
        <f>G188*K188</f>
        <v>7736198.4000000004</v>
      </c>
      <c r="P188" s="786">
        <f>G188*L188</f>
        <v>839720.4</v>
      </c>
      <c r="Q188" s="786"/>
      <c r="R188" s="150">
        <f>G188*M188</f>
        <v>1751644.2</v>
      </c>
      <c r="S188" s="149"/>
      <c r="T188" s="149">
        <f>W188</f>
        <v>10327563</v>
      </c>
      <c r="U188" s="149">
        <f>AB188</f>
        <v>10327563</v>
      </c>
      <c r="W188" s="449">
        <f>SUM(X188:AA188)</f>
        <v>10327563</v>
      </c>
      <c r="X188" s="395">
        <f>H188*K188</f>
        <v>7736198.4000000004</v>
      </c>
      <c r="Y188" s="14">
        <f>H188*L188</f>
        <v>839720.4</v>
      </c>
      <c r="Z188" s="395">
        <f>H188*M188</f>
        <v>1751644.2</v>
      </c>
      <c r="AB188" s="449">
        <f>SUM(AC188:AF188)</f>
        <v>10327563</v>
      </c>
      <c r="AC188" s="395">
        <f>I188*K188</f>
        <v>7736198.4000000004</v>
      </c>
      <c r="AD188" s="14">
        <f>I188*L188</f>
        <v>839720.4</v>
      </c>
      <c r="AE188" s="395">
        <f>I188*M188</f>
        <v>1751644.2</v>
      </c>
    </row>
    <row r="189" spans="1:31" ht="82.8" x14ac:dyDescent="0.25">
      <c r="A189" s="816"/>
      <c r="B189" s="819"/>
      <c r="C189" s="405" t="s">
        <v>39</v>
      </c>
      <c r="D189" s="19" t="s">
        <v>24</v>
      </c>
      <c r="E189" s="10" t="s">
        <v>26</v>
      </c>
      <c r="F189" s="10" t="s">
        <v>26</v>
      </c>
      <c r="G189" s="11" t="s">
        <v>26</v>
      </c>
      <c r="H189" s="415" t="s">
        <v>26</v>
      </c>
      <c r="I189" s="415" t="s">
        <v>26</v>
      </c>
      <c r="J189" s="426" t="s">
        <v>26</v>
      </c>
      <c r="K189" s="426" t="s">
        <v>26</v>
      </c>
      <c r="L189" s="426" t="s">
        <v>26</v>
      </c>
      <c r="M189" s="415" t="s">
        <v>26</v>
      </c>
      <c r="N189" s="427"/>
      <c r="O189" s="427"/>
      <c r="P189" s="426" t="s">
        <v>26</v>
      </c>
      <c r="Q189" s="426"/>
      <c r="R189" s="415" t="s">
        <v>26</v>
      </c>
      <c r="S189" s="10"/>
      <c r="T189" s="149"/>
      <c r="U189" s="149"/>
      <c r="AB189" s="25"/>
    </row>
    <row r="190" spans="1:31" x14ac:dyDescent="0.25">
      <c r="A190" s="816"/>
      <c r="B190" s="819"/>
      <c r="C190" s="385" t="s">
        <v>57</v>
      </c>
      <c r="D190" s="19" t="s">
        <v>24</v>
      </c>
      <c r="E190" s="411"/>
      <c r="F190" s="411"/>
      <c r="G190" s="11"/>
      <c r="H190" s="444"/>
      <c r="I190" s="444"/>
      <c r="J190" s="150">
        <f>K190</f>
        <v>87898.44</v>
      </c>
      <c r="K190" s="150">
        <v>87898.44</v>
      </c>
      <c r="L190" s="426" t="s">
        <v>26</v>
      </c>
      <c r="M190" s="415" t="s">
        <v>26</v>
      </c>
      <c r="N190" s="427">
        <f>O190</f>
        <v>0</v>
      </c>
      <c r="O190" s="427">
        <f>G190*K190</f>
        <v>0</v>
      </c>
      <c r="P190" s="426" t="s">
        <v>26</v>
      </c>
      <c r="Q190" s="426"/>
      <c r="R190" s="415" t="s">
        <v>26</v>
      </c>
      <c r="S190" s="10"/>
      <c r="T190" s="149">
        <f>H190*K190</f>
        <v>0</v>
      </c>
      <c r="U190" s="149">
        <f>I190*K190</f>
        <v>0</v>
      </c>
      <c r="AB190" s="25"/>
    </row>
    <row r="191" spans="1:31" x14ac:dyDescent="0.25">
      <c r="A191" s="816"/>
      <c r="B191" s="819"/>
      <c r="C191" s="385" t="s">
        <v>27</v>
      </c>
      <c r="D191" s="19" t="s">
        <v>24</v>
      </c>
      <c r="E191" s="607">
        <v>0</v>
      </c>
      <c r="F191" s="607">
        <f>1-1</f>
        <v>0</v>
      </c>
      <c r="G191" s="11">
        <v>0</v>
      </c>
      <c r="H191" s="607">
        <f>1-1</f>
        <v>0</v>
      </c>
      <c r="I191" s="607">
        <f>1-1</f>
        <v>0</v>
      </c>
      <c r="J191" s="150">
        <f>K191</f>
        <v>71944.38</v>
      </c>
      <c r="K191" s="150">
        <v>71944.38</v>
      </c>
      <c r="L191" s="426" t="s">
        <v>26</v>
      </c>
      <c r="M191" s="415" t="s">
        <v>26</v>
      </c>
      <c r="N191" s="427">
        <f>O191</f>
        <v>0</v>
      </c>
      <c r="O191" s="427">
        <f t="shared" ref="O191:O193" si="66">G191*K191</f>
        <v>0</v>
      </c>
      <c r="P191" s="426" t="s">
        <v>26</v>
      </c>
      <c r="Q191" s="426"/>
      <c r="R191" s="415" t="s">
        <v>26</v>
      </c>
      <c r="S191" s="10"/>
      <c r="T191" s="149">
        <f>H191*K191</f>
        <v>0</v>
      </c>
      <c r="U191" s="149">
        <f>I191*K191</f>
        <v>0</v>
      </c>
      <c r="AB191" s="25"/>
    </row>
    <row r="192" spans="1:31" x14ac:dyDescent="0.25">
      <c r="A192" s="816"/>
      <c r="B192" s="819"/>
      <c r="C192" s="385" t="s">
        <v>31</v>
      </c>
      <c r="D192" s="19" t="s">
        <v>24</v>
      </c>
      <c r="E192" s="607">
        <v>1</v>
      </c>
      <c r="F192" s="686">
        <v>1</v>
      </c>
      <c r="G192" s="11">
        <v>1</v>
      </c>
      <c r="H192" s="607">
        <v>1</v>
      </c>
      <c r="I192" s="607">
        <v>1</v>
      </c>
      <c r="J192" s="150">
        <f>K192</f>
        <v>310708.38</v>
      </c>
      <c r="K192" s="150">
        <v>310708.38</v>
      </c>
      <c r="L192" s="426" t="s">
        <v>26</v>
      </c>
      <c r="M192" s="415" t="s">
        <v>26</v>
      </c>
      <c r="N192" s="427">
        <f>O192</f>
        <v>310708.38</v>
      </c>
      <c r="O192" s="427">
        <f t="shared" si="66"/>
        <v>310708.38</v>
      </c>
      <c r="P192" s="426" t="s">
        <v>26</v>
      </c>
      <c r="Q192" s="426"/>
      <c r="R192" s="415" t="s">
        <v>26</v>
      </c>
      <c r="S192" s="10"/>
      <c r="T192" s="149">
        <f>H192*K192</f>
        <v>310708.38</v>
      </c>
      <c r="U192" s="149">
        <f>I192*K192</f>
        <v>310708.38</v>
      </c>
    </row>
    <row r="193" spans="1:31" x14ac:dyDescent="0.25">
      <c r="A193" s="816"/>
      <c r="B193" s="819"/>
      <c r="C193" s="563" t="s">
        <v>34</v>
      </c>
      <c r="D193" s="19" t="s">
        <v>24</v>
      </c>
      <c r="E193" s="607">
        <v>1</v>
      </c>
      <c r="F193" s="686">
        <v>1</v>
      </c>
      <c r="G193" s="11">
        <v>1</v>
      </c>
      <c r="H193" s="607">
        <v>1</v>
      </c>
      <c r="I193" s="607">
        <v>1</v>
      </c>
      <c r="J193" s="150">
        <f>K193</f>
        <v>18697.54</v>
      </c>
      <c r="K193" s="150">
        <v>18697.54</v>
      </c>
      <c r="L193" s="426" t="s">
        <v>26</v>
      </c>
      <c r="M193" s="415" t="s">
        <v>26</v>
      </c>
      <c r="N193" s="427">
        <f>O193</f>
        <v>18697.54</v>
      </c>
      <c r="O193" s="427">
        <f t="shared" si="66"/>
        <v>18697.54</v>
      </c>
      <c r="P193" s="426" t="s">
        <v>26</v>
      </c>
      <c r="Q193" s="426"/>
      <c r="R193" s="415" t="s">
        <v>26</v>
      </c>
      <c r="S193" s="10"/>
      <c r="T193" s="149">
        <f>H193*K193</f>
        <v>18697.54</v>
      </c>
      <c r="U193" s="149">
        <f>I193*K193</f>
        <v>18697.54</v>
      </c>
      <c r="AB193" s="25"/>
    </row>
    <row r="194" spans="1:31" ht="82.95" customHeight="1" x14ac:dyDescent="0.25">
      <c r="A194" s="816"/>
      <c r="B194" s="819"/>
      <c r="C194" s="405" t="s">
        <v>35</v>
      </c>
      <c r="D194" s="19" t="s">
        <v>24</v>
      </c>
      <c r="E194" s="607">
        <v>1</v>
      </c>
      <c r="F194" s="686">
        <v>1</v>
      </c>
      <c r="G194" s="11">
        <v>0</v>
      </c>
      <c r="H194" s="444">
        <v>0</v>
      </c>
      <c r="I194" s="444">
        <v>0</v>
      </c>
      <c r="J194" s="150">
        <f>SUM(K194:M194)</f>
        <v>547669.80000000005</v>
      </c>
      <c r="K194" s="150">
        <f>501729.82+2750.57</f>
        <v>504480.39</v>
      </c>
      <c r="L194" s="14">
        <v>13995.34</v>
      </c>
      <c r="M194" s="479">
        <v>29194.07</v>
      </c>
      <c r="N194" s="395">
        <f>SUM(O194:R194)</f>
        <v>0</v>
      </c>
      <c r="O194" s="427">
        <f>G194*K194</f>
        <v>0</v>
      </c>
      <c r="P194" s="643">
        <f>G194*L194</f>
        <v>0</v>
      </c>
      <c r="Q194" s="395"/>
      <c r="R194" s="150">
        <f>G194*M194</f>
        <v>0</v>
      </c>
      <c r="S194" s="396"/>
      <c r="T194" s="149">
        <f>N194</f>
        <v>0</v>
      </c>
      <c r="U194" s="149">
        <f>T194</f>
        <v>0</v>
      </c>
    </row>
    <row r="195" spans="1:31" ht="82.95" customHeight="1" x14ac:dyDescent="0.25">
      <c r="A195" s="816"/>
      <c r="B195" s="819"/>
      <c r="C195" s="405" t="s">
        <v>62</v>
      </c>
      <c r="D195" s="19" t="s">
        <v>24</v>
      </c>
      <c r="E195" s="607">
        <v>0</v>
      </c>
      <c r="F195" s="607">
        <v>0</v>
      </c>
      <c r="G195" s="11">
        <v>0</v>
      </c>
      <c r="H195" s="444">
        <v>0</v>
      </c>
      <c r="I195" s="444">
        <v>0</v>
      </c>
      <c r="J195" s="150">
        <f>K195</f>
        <v>55400.98</v>
      </c>
      <c r="K195" s="150">
        <v>55400.98</v>
      </c>
      <c r="L195" s="150" t="s">
        <v>26</v>
      </c>
      <c r="M195" s="150" t="s">
        <v>26</v>
      </c>
      <c r="N195" s="395">
        <f>SUM(O195:R195)</f>
        <v>0</v>
      </c>
      <c r="O195" s="427">
        <f>G195*K195</f>
        <v>0</v>
      </c>
      <c r="P195" s="395"/>
      <c r="Q195" s="395"/>
      <c r="R195" s="150"/>
      <c r="S195" s="396"/>
      <c r="T195" s="149">
        <f>H195*J195</f>
        <v>0</v>
      </c>
      <c r="U195" s="149">
        <f>I195*J195</f>
        <v>0</v>
      </c>
    </row>
    <row r="196" spans="1:31" ht="13.95" customHeight="1" x14ac:dyDescent="0.25">
      <c r="A196" s="816"/>
      <c r="B196" s="819"/>
      <c r="C196" s="416" t="s">
        <v>58</v>
      </c>
      <c r="D196" s="19" t="s">
        <v>59</v>
      </c>
      <c r="E196" s="607">
        <v>15</v>
      </c>
      <c r="F196" s="607">
        <v>15</v>
      </c>
      <c r="G196" s="11">
        <v>15</v>
      </c>
      <c r="H196" s="444">
        <v>15</v>
      </c>
      <c r="I196" s="444">
        <v>15</v>
      </c>
      <c r="J196" s="150">
        <f>K196</f>
        <v>234360</v>
      </c>
      <c r="K196" s="150">
        <f>10000*1.5*1.302*12</f>
        <v>234360</v>
      </c>
      <c r="L196" s="150"/>
      <c r="M196" s="150"/>
      <c r="N196" s="449">
        <f>SUM(O196:R196)</f>
        <v>3515400</v>
      </c>
      <c r="O196" s="14">
        <f>G196*K196</f>
        <v>3515400</v>
      </c>
      <c r="P196" s="395"/>
      <c r="Q196" s="395"/>
      <c r="R196" s="150"/>
      <c r="S196" s="396"/>
      <c r="T196" s="149">
        <f>H196*K196-3515400</f>
        <v>0</v>
      </c>
      <c r="U196" s="149">
        <f>I196*K196-3515400</f>
        <v>0</v>
      </c>
    </row>
    <row r="197" spans="1:31" ht="31.95" customHeight="1" x14ac:dyDescent="0.25">
      <c r="A197" s="816"/>
      <c r="B197" s="820"/>
      <c r="C197" s="420" t="s">
        <v>38</v>
      </c>
      <c r="D197" s="19"/>
      <c r="E197" s="617">
        <f>E186++E187+E194</f>
        <v>316</v>
      </c>
      <c r="F197" s="691">
        <f>F186++F187+F194</f>
        <v>318</v>
      </c>
      <c r="G197" s="764">
        <f>G186+G187+G188+G194</f>
        <v>378</v>
      </c>
      <c r="H197" s="764">
        <f>H186+H187+H188+H194</f>
        <v>378</v>
      </c>
      <c r="I197" s="764">
        <f>I186+I187+I188+I194</f>
        <v>378</v>
      </c>
      <c r="J197" s="395" t="s">
        <v>26</v>
      </c>
      <c r="K197" s="395" t="s">
        <v>26</v>
      </c>
      <c r="L197" s="395" t="s">
        <v>26</v>
      </c>
      <c r="M197" s="150" t="s">
        <v>26</v>
      </c>
      <c r="N197" s="153">
        <f>SUM(N186:N196)</f>
        <v>46484141.620000005</v>
      </c>
      <c r="O197" s="153">
        <f t="shared" ref="O197:U197" si="67">SUM(O186:O196)</f>
        <v>30158544.639999997</v>
      </c>
      <c r="P197" s="153">
        <f t="shared" si="67"/>
        <v>5290238.5200000005</v>
      </c>
      <c r="Q197" s="153">
        <f t="shared" si="67"/>
        <v>0</v>
      </c>
      <c r="R197" s="646">
        <f t="shared" si="67"/>
        <v>11035358.459999999</v>
      </c>
      <c r="S197" s="153">
        <f t="shared" si="67"/>
        <v>0</v>
      </c>
      <c r="T197" s="153">
        <f t="shared" si="67"/>
        <v>42968741.620000005</v>
      </c>
      <c r="U197" s="153">
        <f t="shared" si="67"/>
        <v>42968741.620000005</v>
      </c>
      <c r="AA197" s="25"/>
    </row>
    <row r="198" spans="1:31" ht="73.2" customHeight="1" x14ac:dyDescent="0.25">
      <c r="A198" s="816"/>
      <c r="B198" s="818" t="s">
        <v>318</v>
      </c>
      <c r="C198" s="22" t="s">
        <v>23</v>
      </c>
      <c r="D198" s="19" t="s">
        <v>24</v>
      </c>
      <c r="E198" s="444">
        <f>44</f>
        <v>44</v>
      </c>
      <c r="F198" s="694">
        <f>44+12</f>
        <v>56</v>
      </c>
      <c r="G198" s="415">
        <f>56</f>
        <v>56</v>
      </c>
      <c r="H198" s="415">
        <f>56</f>
        <v>56</v>
      </c>
      <c r="I198" s="415">
        <f>56</f>
        <v>56</v>
      </c>
      <c r="J198" s="384">
        <f>SUM(K198:M198)</f>
        <v>116060.91999999998</v>
      </c>
      <c r="K198" s="14">
        <f>70145.11+2726.4</f>
        <v>72871.509999999995</v>
      </c>
      <c r="L198" s="14">
        <v>13995.34</v>
      </c>
      <c r="M198" s="479">
        <v>29194.07</v>
      </c>
      <c r="N198" s="395">
        <f>SUM(O198:R198)</f>
        <v>6499411.5199999996</v>
      </c>
      <c r="O198" s="395">
        <f>G198*K198</f>
        <v>4080804.5599999996</v>
      </c>
      <c r="P198" s="643">
        <f>G198*L198</f>
        <v>783739.04</v>
      </c>
      <c r="Q198" s="395"/>
      <c r="R198" s="150">
        <f>G198*M198</f>
        <v>1634867.92</v>
      </c>
      <c r="S198" s="149"/>
      <c r="T198" s="149">
        <f>W198</f>
        <v>6499411.5199999996</v>
      </c>
      <c r="U198" s="149">
        <f>AB198</f>
        <v>6499411.5199999996</v>
      </c>
      <c r="W198" s="449">
        <f>SUM(X198:AA198)</f>
        <v>6499411.5199999996</v>
      </c>
      <c r="X198" s="395">
        <f>H198*K198</f>
        <v>4080804.5599999996</v>
      </c>
      <c r="Y198" s="14">
        <f>H198*L198</f>
        <v>783739.04</v>
      </c>
      <c r="Z198" s="395">
        <f>H198*M198</f>
        <v>1634867.92</v>
      </c>
      <c r="AB198" s="449">
        <f>SUM(AC198:AF198)</f>
        <v>6499411.5199999996</v>
      </c>
      <c r="AC198" s="395">
        <f>I198*K198</f>
        <v>4080804.5599999996</v>
      </c>
      <c r="AD198" s="14">
        <f>I198*L198</f>
        <v>783739.04</v>
      </c>
      <c r="AE198" s="395">
        <f>I198*M198</f>
        <v>1634867.92</v>
      </c>
    </row>
    <row r="199" spans="1:31" ht="96.6" x14ac:dyDescent="0.25">
      <c r="A199" s="816"/>
      <c r="B199" s="819"/>
      <c r="C199" s="605" t="s">
        <v>438</v>
      </c>
      <c r="D199" s="19" t="s">
        <v>24</v>
      </c>
      <c r="E199" s="607">
        <f>50</f>
        <v>50</v>
      </c>
      <c r="F199" s="686">
        <f>50-25</f>
        <v>25</v>
      </c>
      <c r="G199" s="11">
        <f>42-17</f>
        <v>25</v>
      </c>
      <c r="H199" s="444">
        <v>25</v>
      </c>
      <c r="I199" s="444">
        <v>25</v>
      </c>
      <c r="J199" s="384">
        <f>SUM(K199:M199)</f>
        <v>172101.88</v>
      </c>
      <c r="K199" s="14">
        <f>126186.07+2726.4</f>
        <v>128912.47</v>
      </c>
      <c r="L199" s="14">
        <v>13995.34</v>
      </c>
      <c r="M199" s="479">
        <v>29194.07</v>
      </c>
      <c r="N199" s="395">
        <f>SUM(O199:R199)</f>
        <v>4302547</v>
      </c>
      <c r="O199" s="395">
        <f>G199*K199</f>
        <v>3222811.75</v>
      </c>
      <c r="P199" s="643">
        <f>G199*L199</f>
        <v>349883.5</v>
      </c>
      <c r="Q199" s="395"/>
      <c r="R199" s="150">
        <f>G199*M199</f>
        <v>729851.75</v>
      </c>
      <c r="S199" s="149"/>
      <c r="T199" s="149">
        <f>W199</f>
        <v>4302547</v>
      </c>
      <c r="U199" s="149">
        <f>AB199</f>
        <v>4302547</v>
      </c>
      <c r="W199" s="449">
        <f>SUM(X199:AA199)</f>
        <v>4302547</v>
      </c>
      <c r="X199" s="395">
        <f>H199*K199</f>
        <v>3222811.75</v>
      </c>
      <c r="Y199" s="14">
        <f>H199*L199</f>
        <v>349883.5</v>
      </c>
      <c r="Z199" s="395">
        <f>H199*M199</f>
        <v>729851.75</v>
      </c>
      <c r="AB199" s="449">
        <f>SUM(AC199:AF199)</f>
        <v>4302547</v>
      </c>
      <c r="AC199" s="395">
        <f>I199*K199</f>
        <v>3222811.75</v>
      </c>
      <c r="AD199" s="14">
        <f>I199*L199</f>
        <v>349883.5</v>
      </c>
      <c r="AE199" s="395">
        <f>I199*M199</f>
        <v>729851.75</v>
      </c>
    </row>
    <row r="200" spans="1:31" ht="82.8" x14ac:dyDescent="0.25">
      <c r="A200" s="816"/>
      <c r="B200" s="819"/>
      <c r="C200" s="405" t="s">
        <v>39</v>
      </c>
      <c r="D200" s="19" t="s">
        <v>24</v>
      </c>
      <c r="E200" s="11" t="s">
        <v>26</v>
      </c>
      <c r="F200" s="11" t="s">
        <v>26</v>
      </c>
      <c r="G200" s="11" t="s">
        <v>26</v>
      </c>
      <c r="H200" s="415" t="s">
        <v>26</v>
      </c>
      <c r="I200" s="415" t="s">
        <v>26</v>
      </c>
      <c r="J200" s="426" t="s">
        <v>26</v>
      </c>
      <c r="K200" s="426" t="s">
        <v>26</v>
      </c>
      <c r="L200" s="426" t="s">
        <v>26</v>
      </c>
      <c r="M200" s="415" t="s">
        <v>26</v>
      </c>
      <c r="N200" s="427"/>
      <c r="O200" s="427"/>
      <c r="P200" s="426" t="s">
        <v>26</v>
      </c>
      <c r="Q200" s="426"/>
      <c r="R200" s="415" t="s">
        <v>26</v>
      </c>
      <c r="S200" s="10"/>
      <c r="T200" s="149"/>
      <c r="U200" s="149"/>
    </row>
    <row r="201" spans="1:31" x14ac:dyDescent="0.25">
      <c r="A201" s="816"/>
      <c r="B201" s="819"/>
      <c r="C201" s="432" t="s">
        <v>27</v>
      </c>
      <c r="D201" s="19" t="s">
        <v>24</v>
      </c>
      <c r="E201" s="11">
        <v>1</v>
      </c>
      <c r="F201" s="685">
        <v>1</v>
      </c>
      <c r="G201" s="11">
        <v>0</v>
      </c>
      <c r="H201" s="415">
        <v>0</v>
      </c>
      <c r="I201" s="415">
        <v>0</v>
      </c>
      <c r="J201" s="642">
        <f>K201</f>
        <v>74714.429999999993</v>
      </c>
      <c r="K201" s="14">
        <v>74714.429999999993</v>
      </c>
      <c r="L201" s="642"/>
      <c r="M201" s="415"/>
      <c r="N201" s="643">
        <f>O201</f>
        <v>0</v>
      </c>
      <c r="O201" s="643">
        <f>G201*K201</f>
        <v>0</v>
      </c>
      <c r="P201" s="642"/>
      <c r="Q201" s="642"/>
      <c r="R201" s="415"/>
      <c r="S201" s="10"/>
      <c r="T201" s="149">
        <f>H201*K201</f>
        <v>0</v>
      </c>
      <c r="U201" s="149">
        <f>I201*K201</f>
        <v>0</v>
      </c>
    </row>
    <row r="202" spans="1:31" ht="24" customHeight="1" x14ac:dyDescent="0.25">
      <c r="A202" s="816"/>
      <c r="B202" s="819"/>
      <c r="C202" s="432" t="s">
        <v>29</v>
      </c>
      <c r="D202" s="19" t="s">
        <v>24</v>
      </c>
      <c r="E202" s="607">
        <v>1</v>
      </c>
      <c r="F202" s="686">
        <f>1-1</f>
        <v>0</v>
      </c>
      <c r="G202" s="11">
        <v>0</v>
      </c>
      <c r="H202" s="444">
        <f>1-1</f>
        <v>0</v>
      </c>
      <c r="I202" s="444">
        <f>1-1</f>
        <v>0</v>
      </c>
      <c r="J202" s="150">
        <f>K202</f>
        <v>122576.58</v>
      </c>
      <c r="K202" s="150">
        <v>122576.58</v>
      </c>
      <c r="L202" s="426" t="s">
        <v>26</v>
      </c>
      <c r="M202" s="415" t="s">
        <v>26</v>
      </c>
      <c r="N202" s="427">
        <f>O202</f>
        <v>0</v>
      </c>
      <c r="O202" s="427">
        <f>G202*K202</f>
        <v>0</v>
      </c>
      <c r="P202" s="426" t="s">
        <v>26</v>
      </c>
      <c r="Q202" s="426"/>
      <c r="R202" s="415" t="s">
        <v>26</v>
      </c>
      <c r="S202" s="10"/>
      <c r="T202" s="149">
        <f>H202*K202</f>
        <v>0</v>
      </c>
      <c r="U202" s="149">
        <f>I202*K202</f>
        <v>0</v>
      </c>
      <c r="AB202" s="25"/>
    </row>
    <row r="203" spans="1:31" ht="82.95" customHeight="1" x14ac:dyDescent="0.25">
      <c r="A203" s="816"/>
      <c r="B203" s="819"/>
      <c r="C203" s="22" t="s">
        <v>35</v>
      </c>
      <c r="D203" s="19" t="s">
        <v>24</v>
      </c>
      <c r="E203" s="444">
        <v>2</v>
      </c>
      <c r="F203" s="703">
        <f>2-1</f>
        <v>1</v>
      </c>
      <c r="G203" s="415">
        <f>2-1</f>
        <v>1</v>
      </c>
      <c r="H203" s="444">
        <f>2-1</f>
        <v>1</v>
      </c>
      <c r="I203" s="444">
        <f>2-1</f>
        <v>1</v>
      </c>
      <c r="J203" s="384">
        <f>SUM(K203:M203)</f>
        <v>603046.61</v>
      </c>
      <c r="K203" s="150">
        <f>557130.8+2726.4</f>
        <v>559857.20000000007</v>
      </c>
      <c r="L203" s="14">
        <v>13995.34</v>
      </c>
      <c r="M203" s="479">
        <v>29194.07</v>
      </c>
      <c r="N203" s="395">
        <f>SUM(O203:R203)</f>
        <v>603046.61</v>
      </c>
      <c r="O203" s="395">
        <f>G203*K203</f>
        <v>559857.20000000007</v>
      </c>
      <c r="P203" s="643">
        <f>G203*L203</f>
        <v>13995.34</v>
      </c>
      <c r="Q203" s="395"/>
      <c r="R203" s="150">
        <f>G203*M203</f>
        <v>29194.07</v>
      </c>
      <c r="S203" s="396"/>
      <c r="T203" s="149">
        <f>H203*J203</f>
        <v>603046.61</v>
      </c>
      <c r="U203" s="149">
        <f>I203*J203</f>
        <v>603046.61</v>
      </c>
      <c r="AB203" s="25"/>
      <c r="AC203" s="25"/>
    </row>
    <row r="204" spans="1:31" ht="19.2" customHeight="1" x14ac:dyDescent="0.25">
      <c r="A204" s="816"/>
      <c r="B204" s="819"/>
      <c r="C204" s="419" t="s">
        <v>58</v>
      </c>
      <c r="D204" s="19" t="s">
        <v>59</v>
      </c>
      <c r="E204" s="607">
        <v>4</v>
      </c>
      <c r="F204" s="607">
        <v>4</v>
      </c>
      <c r="G204" s="11">
        <v>4</v>
      </c>
      <c r="H204" s="444">
        <v>4</v>
      </c>
      <c r="I204" s="444">
        <v>4</v>
      </c>
      <c r="J204" s="150">
        <f>SUM(K204:M204)</f>
        <v>234360</v>
      </c>
      <c r="K204" s="150">
        <f>10000*1.5*1.302*12</f>
        <v>234360</v>
      </c>
      <c r="L204" s="384"/>
      <c r="M204" s="14"/>
      <c r="N204" s="449">
        <f>SUM(O204:R204)</f>
        <v>937440</v>
      </c>
      <c r="O204" s="449">
        <f>G204*K204</f>
        <v>937440</v>
      </c>
      <c r="P204" s="427"/>
      <c r="Q204" s="395"/>
      <c r="R204" s="150"/>
      <c r="S204" s="396"/>
      <c r="T204" s="340">
        <f>H204*K204-937440</f>
        <v>0</v>
      </c>
      <c r="U204" s="340">
        <f>I204*K204-937440</f>
        <v>0</v>
      </c>
      <c r="AB204" s="25"/>
      <c r="AC204" s="25"/>
    </row>
    <row r="205" spans="1:31" ht="26.4" customHeight="1" x14ac:dyDescent="0.25">
      <c r="A205" s="816"/>
      <c r="B205" s="820"/>
      <c r="C205" s="420" t="s">
        <v>38</v>
      </c>
      <c r="D205" s="19"/>
      <c r="E205" s="608">
        <f>E198+E203+E199</f>
        <v>96</v>
      </c>
      <c r="F205" s="695">
        <f>F198+F203+F199</f>
        <v>82</v>
      </c>
      <c r="G205" s="688">
        <f>G198+G203+G199</f>
        <v>82</v>
      </c>
      <c r="H205" s="760">
        <f>H198+H203+H199</f>
        <v>82</v>
      </c>
      <c r="I205" s="760">
        <f>I198+I203+I199</f>
        <v>82</v>
      </c>
      <c r="J205" s="395" t="s">
        <v>26</v>
      </c>
      <c r="K205" s="395" t="s">
        <v>26</v>
      </c>
      <c r="L205" s="395" t="s">
        <v>26</v>
      </c>
      <c r="M205" s="150" t="s">
        <v>26</v>
      </c>
      <c r="N205" s="153">
        <f>SUM(N198:N204)</f>
        <v>12342445.129999999</v>
      </c>
      <c r="O205" s="153">
        <f t="shared" ref="O205:U205" si="68">SUM(O198:O204)</f>
        <v>8800913.5099999998</v>
      </c>
      <c r="P205" s="153">
        <f t="shared" si="68"/>
        <v>1147617.8800000001</v>
      </c>
      <c r="Q205" s="153">
        <f t="shared" si="68"/>
        <v>0</v>
      </c>
      <c r="R205" s="646">
        <f t="shared" si="68"/>
        <v>2393913.7399999998</v>
      </c>
      <c r="S205" s="153">
        <f t="shared" si="68"/>
        <v>0</v>
      </c>
      <c r="T205" s="153">
        <f t="shared" si="68"/>
        <v>11405005.129999999</v>
      </c>
      <c r="U205" s="153">
        <f t="shared" si="68"/>
        <v>11405005.129999999</v>
      </c>
      <c r="V205" s="25"/>
      <c r="W205" s="25"/>
      <c r="X205" s="25"/>
      <c r="AA205" s="25"/>
      <c r="AB205" s="25"/>
    </row>
    <row r="206" spans="1:31" ht="58.95" customHeight="1" x14ac:dyDescent="0.25">
      <c r="A206" s="816"/>
      <c r="B206" s="823" t="s">
        <v>115</v>
      </c>
      <c r="C206" s="821" t="s">
        <v>64</v>
      </c>
      <c r="D206" s="19" t="s">
        <v>24</v>
      </c>
      <c r="E206" s="696">
        <f>2309-109+106-51</f>
        <v>2255</v>
      </c>
      <c r="F206" s="694">
        <f>2309-109+55</f>
        <v>2255</v>
      </c>
      <c r="G206" s="445">
        <v>2255</v>
      </c>
      <c r="H206" s="443">
        <v>2255</v>
      </c>
      <c r="I206" s="443">
        <v>2255</v>
      </c>
      <c r="J206" s="150">
        <f>K206</f>
        <v>5125.76</v>
      </c>
      <c r="K206" s="150">
        <v>5125.76</v>
      </c>
      <c r="L206" s="150" t="s">
        <v>26</v>
      </c>
      <c r="M206" s="150" t="s">
        <v>26</v>
      </c>
      <c r="N206" s="395">
        <f>SUM(O206:R206)</f>
        <v>11558588.800000001</v>
      </c>
      <c r="O206" s="395">
        <f>G206*K206</f>
        <v>11558588.800000001</v>
      </c>
      <c r="P206" s="395">
        <v>0</v>
      </c>
      <c r="Q206" s="395"/>
      <c r="R206" s="150">
        <v>0</v>
      </c>
      <c r="S206" s="396"/>
      <c r="T206" s="149">
        <f>H206*J206</f>
        <v>11558588.800000001</v>
      </c>
      <c r="U206" s="149">
        <f>I206*J206</f>
        <v>11558588.800000001</v>
      </c>
      <c r="V206" s="435"/>
      <c r="W206" s="435"/>
      <c r="X206" s="25"/>
      <c r="Y206" s="30"/>
    </row>
    <row r="207" spans="1:31" ht="43.95" customHeight="1" x14ac:dyDescent="0.25">
      <c r="A207" s="816"/>
      <c r="B207" s="825"/>
      <c r="C207" s="822"/>
      <c r="D207" s="433" t="s">
        <v>235</v>
      </c>
      <c r="E207" s="618">
        <v>226446.8</v>
      </c>
      <c r="F207" s="710">
        <v>226446.8</v>
      </c>
      <c r="G207" s="765">
        <f>224200-4492</f>
        <v>219708</v>
      </c>
      <c r="H207" s="765">
        <f t="shared" ref="H207:I207" si="69">224200-4492</f>
        <v>219708</v>
      </c>
      <c r="I207" s="765">
        <f t="shared" si="69"/>
        <v>219708</v>
      </c>
      <c r="J207" s="394">
        <f>K207</f>
        <v>52.608866313470607</v>
      </c>
      <c r="K207" s="394">
        <f>N207/G207</f>
        <v>52.608866313470607</v>
      </c>
      <c r="L207" s="394" t="s">
        <v>26</v>
      </c>
      <c r="M207" s="394" t="s">
        <v>26</v>
      </c>
      <c r="N207" s="394">
        <f>N206</f>
        <v>11558588.800000001</v>
      </c>
      <c r="O207" s="393">
        <f>O206</f>
        <v>11558588.800000001</v>
      </c>
      <c r="P207" s="393" t="s">
        <v>26</v>
      </c>
      <c r="Q207" s="393"/>
      <c r="R207" s="394" t="s">
        <v>26</v>
      </c>
      <c r="S207" s="393"/>
      <c r="T207" s="394">
        <f>T206/G207*H207</f>
        <v>11558588.800000001</v>
      </c>
      <c r="U207" s="394">
        <f>U206/G207*I207</f>
        <v>11558588.800000001</v>
      </c>
      <c r="V207" s="435"/>
      <c r="W207" s="435"/>
      <c r="X207" s="25"/>
      <c r="Y207" s="30"/>
    </row>
    <row r="208" spans="1:31" ht="110.4" hidden="1" x14ac:dyDescent="0.25">
      <c r="A208" s="816"/>
      <c r="B208" s="824"/>
      <c r="C208" s="22" t="s">
        <v>65</v>
      </c>
      <c r="D208" s="19" t="s">
        <v>24</v>
      </c>
      <c r="E208" s="607">
        <v>495</v>
      </c>
      <c r="F208" s="607">
        <v>495</v>
      </c>
      <c r="G208" s="11">
        <v>495</v>
      </c>
      <c r="H208" s="415">
        <v>495</v>
      </c>
      <c r="I208" s="415">
        <v>495</v>
      </c>
      <c r="J208" s="395" t="s">
        <v>26</v>
      </c>
      <c r="K208" s="395" t="s">
        <v>26</v>
      </c>
      <c r="L208" s="395" t="s">
        <v>26</v>
      </c>
      <c r="M208" s="150">
        <v>0</v>
      </c>
      <c r="N208" s="395">
        <f>R208</f>
        <v>0</v>
      </c>
      <c r="O208" s="395">
        <v>0</v>
      </c>
      <c r="P208" s="395">
        <v>0</v>
      </c>
      <c r="Q208" s="395"/>
      <c r="R208" s="150">
        <f>G208*M208</f>
        <v>0</v>
      </c>
      <c r="S208" s="396"/>
      <c r="T208" s="149">
        <f>N208</f>
        <v>0</v>
      </c>
      <c r="U208" s="149">
        <f t="shared" ref="U208:U212" si="70">T208</f>
        <v>0</v>
      </c>
      <c r="V208" s="435"/>
      <c r="W208" s="435"/>
      <c r="Y208" s="25"/>
      <c r="Z208" s="1">
        <f>Y208/G217</f>
        <v>0</v>
      </c>
      <c r="AA208" s="1">
        <f>Z208*Y206</f>
        <v>0</v>
      </c>
    </row>
    <row r="209" spans="1:31" ht="13.95" customHeight="1" x14ac:dyDescent="0.25">
      <c r="A209" s="816"/>
      <c r="B209" s="390"/>
      <c r="C209" s="424" t="s">
        <v>38</v>
      </c>
      <c r="D209" s="409"/>
      <c r="E209" s="607">
        <f>SUM(E206:E206)</f>
        <v>2255</v>
      </c>
      <c r="F209" s="607">
        <f t="shared" ref="F209:G209" si="71">SUM(F206:F206)</f>
        <v>2255</v>
      </c>
      <c r="G209" s="607">
        <f t="shared" si="71"/>
        <v>2255</v>
      </c>
      <c r="H209" s="444">
        <f>SUM(H206:H206)</f>
        <v>2255</v>
      </c>
      <c r="I209" s="444">
        <f>SUM(I206:I206)</f>
        <v>2255</v>
      </c>
      <c r="J209" s="395" t="s">
        <v>26</v>
      </c>
      <c r="K209" s="395" t="s">
        <v>26</v>
      </c>
      <c r="L209" s="395" t="s">
        <v>26</v>
      </c>
      <c r="M209" s="150">
        <f>SUM(M206:M206)</f>
        <v>0</v>
      </c>
      <c r="N209" s="153">
        <f>N206+N208</f>
        <v>11558588.800000001</v>
      </c>
      <c r="O209" s="395">
        <f>O206+O208</f>
        <v>11558588.800000001</v>
      </c>
      <c r="P209" s="395">
        <f>P206+P208</f>
        <v>0</v>
      </c>
      <c r="Q209" s="395"/>
      <c r="R209" s="150">
        <f>R206+R208</f>
        <v>0</v>
      </c>
      <c r="S209" s="396"/>
      <c r="T209" s="396">
        <f>T206+T208</f>
        <v>11558588.800000001</v>
      </c>
      <c r="U209" s="149">
        <f>U206+U208</f>
        <v>11558588.800000001</v>
      </c>
      <c r="V209" s="435"/>
      <c r="W209" s="435"/>
      <c r="AA209" s="25">
        <f>AA208+R208</f>
        <v>0</v>
      </c>
    </row>
    <row r="210" spans="1:31" ht="31.2" customHeight="1" x14ac:dyDescent="0.25">
      <c r="A210" s="816"/>
      <c r="B210" s="158" t="s">
        <v>45</v>
      </c>
      <c r="C210" s="424" t="s">
        <v>44</v>
      </c>
      <c r="D210" s="410" t="s">
        <v>46</v>
      </c>
      <c r="E210" s="607">
        <v>4</v>
      </c>
      <c r="F210" s="607">
        <v>4</v>
      </c>
      <c r="G210" s="11">
        <v>4</v>
      </c>
      <c r="H210" s="444">
        <v>4</v>
      </c>
      <c r="I210" s="444">
        <v>4</v>
      </c>
      <c r="J210" s="395"/>
      <c r="K210" s="395"/>
      <c r="L210" s="150">
        <v>316440.09999999998</v>
      </c>
      <c r="M210" s="150"/>
      <c r="N210" s="395">
        <f>P210</f>
        <v>1265760.3999999999</v>
      </c>
      <c r="O210" s="395"/>
      <c r="P210" s="395">
        <f>G210*L210</f>
        <v>1265760.3999999999</v>
      </c>
      <c r="Q210" s="395"/>
      <c r="R210" s="150"/>
      <c r="S210" s="396"/>
      <c r="T210" s="149">
        <f>H210*L210</f>
        <v>1265760.3999999999</v>
      </c>
      <c r="U210" s="149">
        <f>I210*L210</f>
        <v>1265760.3999999999</v>
      </c>
      <c r="V210" s="435"/>
      <c r="W210" s="435"/>
      <c r="AA210" s="25"/>
    </row>
    <row r="211" spans="1:31" ht="13.95" customHeight="1" x14ac:dyDescent="0.25">
      <c r="A211" s="816"/>
      <c r="B211" s="381" t="s">
        <v>66</v>
      </c>
      <c r="C211" s="424" t="s">
        <v>44</v>
      </c>
      <c r="D211" s="410" t="s">
        <v>46</v>
      </c>
      <c r="E211" s="607">
        <v>1</v>
      </c>
      <c r="F211" s="607">
        <v>1</v>
      </c>
      <c r="G211" s="11">
        <v>1</v>
      </c>
      <c r="H211" s="444">
        <v>1</v>
      </c>
      <c r="I211" s="444">
        <v>1</v>
      </c>
      <c r="J211" s="395"/>
      <c r="K211" s="395"/>
      <c r="L211" s="150">
        <v>2613705.66</v>
      </c>
      <c r="M211" s="150"/>
      <c r="N211" s="150">
        <f>P211</f>
        <v>2843862.588</v>
      </c>
      <c r="O211" s="395"/>
      <c r="P211" s="150">
        <f>L211+39957.8*(764-476)/50</f>
        <v>2843862.588</v>
      </c>
      <c r="Q211" s="395"/>
      <c r="R211" s="150"/>
      <c r="S211" s="396"/>
      <c r="T211" s="149">
        <f>H211*L211</f>
        <v>2613705.66</v>
      </c>
      <c r="U211" s="149">
        <f>I211*L211</f>
        <v>2613705.66</v>
      </c>
      <c r="V211" s="436"/>
      <c r="W211" s="436"/>
    </row>
    <row r="212" spans="1:31" ht="13.95" customHeight="1" x14ac:dyDescent="0.25">
      <c r="A212" s="816"/>
      <c r="B212" s="381" t="s">
        <v>67</v>
      </c>
      <c r="C212" s="28" t="s">
        <v>44</v>
      </c>
      <c r="D212" s="19"/>
      <c r="E212" s="607"/>
      <c r="F212" s="607"/>
      <c r="G212" s="607"/>
      <c r="H212" s="444"/>
      <c r="I212" s="444"/>
      <c r="J212" s="395"/>
      <c r="K212" s="395"/>
      <c r="L212" s="395"/>
      <c r="M212" s="150"/>
      <c r="N212" s="150">
        <f>P212</f>
        <v>0</v>
      </c>
      <c r="O212" s="395"/>
      <c r="P212" s="150">
        <f>L212*(807.27-476)/50</f>
        <v>0</v>
      </c>
      <c r="Q212" s="395"/>
      <c r="R212" s="150"/>
      <c r="S212" s="396"/>
      <c r="T212" s="149">
        <f>N212</f>
        <v>0</v>
      </c>
      <c r="U212" s="149">
        <f t="shared" si="70"/>
        <v>0</v>
      </c>
      <c r="V212" s="436"/>
      <c r="W212" s="436"/>
    </row>
    <row r="213" spans="1:31" hidden="1" x14ac:dyDescent="0.25">
      <c r="A213" s="816"/>
      <c r="B213" s="381" t="s">
        <v>55</v>
      </c>
      <c r="C213" s="381" t="s">
        <v>54</v>
      </c>
      <c r="D213" s="400"/>
      <c r="E213" s="6"/>
      <c r="F213" s="6"/>
      <c r="G213" s="6"/>
      <c r="H213" s="7"/>
      <c r="I213" s="7"/>
      <c r="J213" s="387"/>
      <c r="K213" s="387"/>
      <c r="L213" s="395">
        <v>39062.44</v>
      </c>
      <c r="M213" s="31"/>
      <c r="N213" s="387">
        <f>S213</f>
        <v>0</v>
      </c>
      <c r="O213" s="387"/>
      <c r="P213" s="398"/>
      <c r="Q213" s="387"/>
      <c r="R213" s="31"/>
      <c r="S213" s="389"/>
      <c r="T213" s="23"/>
      <c r="U213" s="23"/>
      <c r="V213" s="25"/>
      <c r="W213" s="25"/>
    </row>
    <row r="214" spans="1:31" ht="13.95" customHeight="1" x14ac:dyDescent="0.25">
      <c r="A214" s="816"/>
      <c r="B214" s="381" t="s">
        <v>47</v>
      </c>
      <c r="C214" s="381" t="s">
        <v>44</v>
      </c>
      <c r="D214" s="400"/>
      <c r="E214" s="6">
        <v>31</v>
      </c>
      <c r="F214" s="6">
        <v>31</v>
      </c>
      <c r="G214" s="6">
        <v>31</v>
      </c>
      <c r="H214" s="7">
        <v>31</v>
      </c>
      <c r="I214" s="7">
        <v>31</v>
      </c>
      <c r="J214" s="387"/>
      <c r="K214" s="387"/>
      <c r="L214" s="395">
        <v>0</v>
      </c>
      <c r="M214" s="31"/>
      <c r="N214" s="449">
        <f>SUM(O214:R214)</f>
        <v>7265160</v>
      </c>
      <c r="O214" s="31">
        <f>O204+O196+O184</f>
        <v>7265160</v>
      </c>
      <c r="P214" s="387"/>
      <c r="Q214" s="387"/>
      <c r="R214" s="31"/>
      <c r="S214" s="389"/>
      <c r="T214" s="23">
        <v>3632580</v>
      </c>
      <c r="U214" s="23">
        <f>T214</f>
        <v>3632580</v>
      </c>
      <c r="V214" s="25"/>
      <c r="W214" s="25"/>
    </row>
    <row r="215" spans="1:31" ht="13.95" hidden="1" customHeight="1" x14ac:dyDescent="0.25">
      <c r="A215" s="816"/>
      <c r="B215" s="381" t="s">
        <v>48</v>
      </c>
      <c r="C215" s="381" t="s">
        <v>44</v>
      </c>
      <c r="D215" s="400"/>
      <c r="E215" s="6"/>
      <c r="F215" s="6"/>
      <c r="G215" s="6"/>
      <c r="H215" s="7"/>
      <c r="I215" s="7"/>
      <c r="J215" s="387"/>
      <c r="K215" s="387"/>
      <c r="L215" s="387"/>
      <c r="M215" s="31"/>
      <c r="N215" s="387">
        <f>O215</f>
        <v>0</v>
      </c>
      <c r="O215" s="387"/>
      <c r="P215" s="387"/>
      <c r="Q215" s="387"/>
      <c r="R215" s="31"/>
      <c r="S215" s="389"/>
      <c r="T215" s="23">
        <f>O215</f>
        <v>0</v>
      </c>
      <c r="U215" s="23">
        <f>T215</f>
        <v>0</v>
      </c>
    </row>
    <row r="216" spans="1:31" ht="13.95" hidden="1" customHeight="1" x14ac:dyDescent="0.25">
      <c r="A216" s="816"/>
      <c r="B216" s="381" t="s">
        <v>49</v>
      </c>
      <c r="C216" s="381" t="s">
        <v>44</v>
      </c>
      <c r="D216" s="400"/>
      <c r="E216" s="6"/>
      <c r="F216" s="6"/>
      <c r="G216" s="6"/>
      <c r="H216" s="7"/>
      <c r="I216" s="7"/>
      <c r="J216" s="387"/>
      <c r="K216" s="387"/>
      <c r="L216" s="387"/>
      <c r="M216" s="31"/>
      <c r="N216" s="387">
        <f>P216</f>
        <v>0</v>
      </c>
      <c r="O216" s="387"/>
      <c r="P216" s="387"/>
      <c r="Q216" s="387"/>
      <c r="R216" s="31"/>
      <c r="S216" s="389"/>
      <c r="T216" s="23"/>
      <c r="U216" s="23">
        <f>T216</f>
        <v>0</v>
      </c>
    </row>
    <row r="217" spans="1:31" ht="28.2" customHeight="1" x14ac:dyDescent="0.25">
      <c r="A217" s="817"/>
      <c r="B217" s="409" t="s">
        <v>50</v>
      </c>
      <c r="C217" s="390"/>
      <c r="D217" s="390"/>
      <c r="E217" s="619">
        <f>E185+E197+E205</f>
        <v>722</v>
      </c>
      <c r="F217" s="697">
        <f>F185+F197+F205</f>
        <v>703</v>
      </c>
      <c r="G217" s="766">
        <f>G185+G197+G205</f>
        <v>763</v>
      </c>
      <c r="H217" s="766">
        <f>H185+H197+H205</f>
        <v>763</v>
      </c>
      <c r="I217" s="766">
        <f>I185+I197+I205</f>
        <v>763</v>
      </c>
      <c r="J217" s="388"/>
      <c r="K217" s="388"/>
      <c r="L217" s="388"/>
      <c r="M217" s="391"/>
      <c r="N217" s="388">
        <f>SUM(O217:S217)</f>
        <v>105623278.178</v>
      </c>
      <c r="O217" s="388">
        <f>O185+O197+O205+O209+O210+O211+O212+O216</f>
        <v>68560135.359999999</v>
      </c>
      <c r="P217" s="388">
        <f>P185+P197+P205+P209+P210+P211+P212+P213+P214+P216</f>
        <v>14788067.408</v>
      </c>
      <c r="Q217" s="388">
        <f>Q185+Q197+Q205+Q209+Q210+Q211+Q212</f>
        <v>0</v>
      </c>
      <c r="R217" s="778">
        <f>R185+R197+R205+R209+R210+R211+R212+R213</f>
        <v>22275075.41</v>
      </c>
      <c r="S217" s="397">
        <f>S185+S197+S205+S209+S210+S211+S212+S213</f>
        <v>0</v>
      </c>
      <c r="T217" s="397">
        <f>T185+T197+T205+T209+T210+T211+T212+T213+T215+T216</f>
        <v>98127961.25</v>
      </c>
      <c r="U217" s="397">
        <f>U185+U197+U205+U209+U210+U211+U212+U213+U215+U216</f>
        <v>98127961.25</v>
      </c>
      <c r="X217" s="25"/>
      <c r="AA217" s="25"/>
      <c r="AB217" s="32"/>
      <c r="AC217" s="25"/>
      <c r="AD217" s="25"/>
      <c r="AE217" s="25"/>
    </row>
    <row r="218" spans="1:31" ht="193.2" x14ac:dyDescent="0.25">
      <c r="A218" s="815" t="s">
        <v>68</v>
      </c>
      <c r="B218" s="818" t="s">
        <v>112</v>
      </c>
      <c r="C218" s="405" t="s">
        <v>69</v>
      </c>
      <c r="D218" s="19" t="s">
        <v>70</v>
      </c>
      <c r="E218" s="11" t="s">
        <v>464</v>
      </c>
      <c r="F218" s="682" t="s">
        <v>528</v>
      </c>
      <c r="G218" s="11" t="s">
        <v>528</v>
      </c>
      <c r="H218" s="11" t="s">
        <v>464</v>
      </c>
      <c r="I218" s="11" t="s">
        <v>464</v>
      </c>
      <c r="J218" s="384" t="s">
        <v>598</v>
      </c>
      <c r="K218" s="384" t="s">
        <v>599</v>
      </c>
      <c r="L218" s="384" t="s">
        <v>608</v>
      </c>
      <c r="M218" s="437" t="s">
        <v>636</v>
      </c>
      <c r="N218" s="14">
        <f>SUM(O218:R218)</f>
        <v>2514361.75</v>
      </c>
      <c r="O218" s="14">
        <f>((((1013620.33*1/12*8)+(1013620.33/12*4))+((2198.86*20)/12*8+(2198.86*20)/12*4)))</f>
        <v>1057597.5299999998</v>
      </c>
      <c r="P218" s="14">
        <f>((332314.42*1)/12*8)+((332314.42*1)/12*4)</f>
        <v>332314.42</v>
      </c>
      <c r="Q218" s="427"/>
      <c r="R218" s="620">
        <f>((56222.49*20)/12*8)+((56222.49*20)/12*4)</f>
        <v>1124449.8</v>
      </c>
      <c r="S218" s="149"/>
      <c r="T218" s="150">
        <f>W218</f>
        <v>2572783.0999999996</v>
      </c>
      <c r="U218" s="150">
        <f>AB218</f>
        <v>2572783.0999999996</v>
      </c>
      <c r="W218" s="418">
        <f>SUM(X218:Z218)</f>
        <v>2572783.0999999996</v>
      </c>
      <c r="X218" s="478">
        <f>((((1013620.33*1/12*8)+(1013620.33/12*4))+((2198.86*21)/12*8+(2198.86*21)/12*4)))</f>
        <v>1059796.3899999999</v>
      </c>
      <c r="Y218" s="478">
        <f>((332314.42*1)/12*8)+((332314.42*1)/12*4)</f>
        <v>332314.42</v>
      </c>
      <c r="Z218" s="632">
        <f>((56222.49*21)/12*8)+((56222.49*21)/12*4)</f>
        <v>1180672.29</v>
      </c>
      <c r="AB218" s="418">
        <f>SUM(AC218:AE218)</f>
        <v>2572783.0999999996</v>
      </c>
      <c r="AC218" s="478">
        <f>((((1013620.33*1/12*8)+(1013620.33/12*4))+((2198.86*21)/12*8+(2198.86*21)/12*4)))</f>
        <v>1059796.3899999999</v>
      </c>
      <c r="AD218" s="478">
        <f>((332314.42*1)/12*8)+((332314.42*1)/12*4)</f>
        <v>332314.42</v>
      </c>
      <c r="AE218" s="632">
        <f>((56222.49*21)/12*8)+((56222.49*21)/12*4)</f>
        <v>1180672.29</v>
      </c>
    </row>
    <row r="219" spans="1:31" ht="179.4" x14ac:dyDescent="0.25">
      <c r="A219" s="816"/>
      <c r="B219" s="819"/>
      <c r="C219" s="405" t="s">
        <v>71</v>
      </c>
      <c r="D219" s="19" t="s">
        <v>70</v>
      </c>
      <c r="E219" s="11" t="s">
        <v>478</v>
      </c>
      <c r="F219" s="682" t="s">
        <v>529</v>
      </c>
      <c r="G219" s="11" t="s">
        <v>615</v>
      </c>
      <c r="H219" s="11" t="s">
        <v>616</v>
      </c>
      <c r="I219" s="11" t="s">
        <v>617</v>
      </c>
      <c r="J219" s="384" t="s">
        <v>600</v>
      </c>
      <c r="K219" s="384" t="s">
        <v>601</v>
      </c>
      <c r="L219" s="384" t="s">
        <v>608</v>
      </c>
      <c r="M219" s="437" t="s">
        <v>637</v>
      </c>
      <c r="N219" s="14">
        <f>SUM(O219:R219)</f>
        <v>8598641.7699999996</v>
      </c>
      <c r="O219" s="14">
        <f>((((955631.11*4)/12*8+(955631.11*4)/12*4)+((2198.86*59)/12*8+(2198.86*59)/12*4)))</f>
        <v>3952257.1799999997</v>
      </c>
      <c r="P219" s="14">
        <f>((332314.42*4)/12*8)+((332314.42*4)/12*4)</f>
        <v>1329257.68</v>
      </c>
      <c r="Q219" s="14"/>
      <c r="R219" s="789">
        <f>((56222.49*59)/12*8)+((56222.49*59)/12*4)</f>
        <v>3317126.91</v>
      </c>
      <c r="S219" s="149"/>
      <c r="T219" s="150">
        <f>W219</f>
        <v>7780742.8699999992</v>
      </c>
      <c r="U219" s="150">
        <f>AB219</f>
        <v>7313372.0699999994</v>
      </c>
      <c r="W219" s="418">
        <f>SUM(X219:Z219)</f>
        <v>7780742.8699999992</v>
      </c>
      <c r="X219" s="478">
        <f>((((955631.11*4/12*8)+(955631.11*4/12*4))+((2198.86*45)/12*8+(2198.86*45)/12*4)))</f>
        <v>3921473.1399999997</v>
      </c>
      <c r="Y219" s="478">
        <f>((332314.42*4)/12*8)+((332314.42*4)/12*4)</f>
        <v>1329257.68</v>
      </c>
      <c r="Z219" s="632">
        <f>((56222.49*45)/12*8)+((56222.49*45)/12*4)</f>
        <v>2530012.0499999998</v>
      </c>
      <c r="AB219" s="418">
        <f>SUM(AC219:AE219)</f>
        <v>7313372.0699999994</v>
      </c>
      <c r="AC219" s="478">
        <f>((((955631.11*4/12*8)+(955631.11*4/12*4))+((2198.86*37)/12*8+(2198.86*37)/12*4)))</f>
        <v>3903882.2599999993</v>
      </c>
      <c r="AD219" s="478">
        <f>((332314.42*4)/12*8)+((332314.42*4)/12*4)</f>
        <v>1329257.68</v>
      </c>
      <c r="AE219" s="632">
        <f>((56222.49*37)/12*8)+((56222.49*37)/12*4)</f>
        <v>2080232.13</v>
      </c>
    </row>
    <row r="220" spans="1:31" ht="82.8" x14ac:dyDescent="0.25">
      <c r="A220" s="816"/>
      <c r="B220" s="819"/>
      <c r="C220" s="405" t="s">
        <v>39</v>
      </c>
      <c r="D220" s="19" t="s">
        <v>24</v>
      </c>
      <c r="E220" s="606"/>
      <c r="F220" s="606"/>
      <c r="G220" s="438"/>
      <c r="H220" s="439"/>
      <c r="I220" s="439"/>
      <c r="J220" s="212" t="s">
        <v>72</v>
      </c>
      <c r="K220" s="212" t="s">
        <v>72</v>
      </c>
      <c r="L220" s="212" t="s">
        <v>72</v>
      </c>
      <c r="M220" s="212" t="s">
        <v>72</v>
      </c>
      <c r="N220" s="427">
        <f t="shared" ref="N220:N228" si="72">SUM(O220:R220)</f>
        <v>0</v>
      </c>
      <c r="O220" s="212" t="s">
        <v>72</v>
      </c>
      <c r="P220" s="212" t="s">
        <v>72</v>
      </c>
      <c r="Q220" s="212"/>
      <c r="R220" s="212" t="s">
        <v>72</v>
      </c>
      <c r="S220" s="440"/>
      <c r="T220" s="149">
        <f t="shared" ref="T220" si="73">N220</f>
        <v>0</v>
      </c>
      <c r="U220" s="149">
        <f t="shared" ref="U220" si="74">T220</f>
        <v>0</v>
      </c>
    </row>
    <row r="221" spans="1:31" x14ac:dyDescent="0.25">
      <c r="A221" s="816"/>
      <c r="B221" s="819"/>
      <c r="C221" s="385" t="s">
        <v>57</v>
      </c>
      <c r="D221" s="19" t="s">
        <v>24</v>
      </c>
      <c r="E221" s="606">
        <v>1</v>
      </c>
      <c r="F221" s="682">
        <f>1-1</f>
        <v>0</v>
      </c>
      <c r="G221" s="11">
        <f>1-1</f>
        <v>0</v>
      </c>
      <c r="H221" s="609">
        <f>1-1</f>
        <v>0</v>
      </c>
      <c r="I221" s="609">
        <f>1-1</f>
        <v>0</v>
      </c>
      <c r="J221" s="150">
        <f t="shared" ref="J221:J228" si="75">K221</f>
        <v>183920.14</v>
      </c>
      <c r="K221" s="150">
        <v>183920.14</v>
      </c>
      <c r="L221" s="212"/>
      <c r="M221" s="212"/>
      <c r="N221" s="476">
        <f t="shared" si="72"/>
        <v>0</v>
      </c>
      <c r="O221" s="476">
        <f>G221*K221</f>
        <v>0</v>
      </c>
      <c r="P221" s="212"/>
      <c r="Q221" s="212"/>
      <c r="R221" s="212"/>
      <c r="S221" s="440"/>
      <c r="T221" s="149">
        <f>H221*K221</f>
        <v>0</v>
      </c>
      <c r="U221" s="149">
        <f>I221*K221</f>
        <v>0</v>
      </c>
    </row>
    <row r="222" spans="1:31" x14ac:dyDescent="0.25">
      <c r="A222" s="816"/>
      <c r="B222" s="819"/>
      <c r="C222" s="385" t="s">
        <v>28</v>
      </c>
      <c r="D222" s="19" t="s">
        <v>24</v>
      </c>
      <c r="E222" s="11">
        <v>3</v>
      </c>
      <c r="F222" s="682">
        <f>3-1</f>
        <v>2</v>
      </c>
      <c r="G222" s="11">
        <f>3</f>
        <v>3</v>
      </c>
      <c r="H222" s="415">
        <f>4-1</f>
        <v>3</v>
      </c>
      <c r="I222" s="415">
        <f>2</f>
        <v>2</v>
      </c>
      <c r="J222" s="150">
        <f t="shared" si="75"/>
        <v>183920.14</v>
      </c>
      <c r="K222" s="150">
        <v>183920.14</v>
      </c>
      <c r="L222" s="212"/>
      <c r="M222" s="212"/>
      <c r="N222" s="427">
        <f t="shared" si="72"/>
        <v>551760.42000000004</v>
      </c>
      <c r="O222" s="427">
        <f>G222*K222</f>
        <v>551760.42000000004</v>
      </c>
      <c r="P222" s="212"/>
      <c r="Q222" s="212"/>
      <c r="R222" s="212"/>
      <c r="S222" s="440"/>
      <c r="T222" s="149">
        <f>H222*K222</f>
        <v>551760.42000000004</v>
      </c>
      <c r="U222" s="149">
        <f>I222*K222</f>
        <v>367840.28</v>
      </c>
      <c r="W222" s="494" t="s">
        <v>355</v>
      </c>
    </row>
    <row r="223" spans="1:31" x14ac:dyDescent="0.25">
      <c r="A223" s="816"/>
      <c r="B223" s="819"/>
      <c r="C223" s="385" t="s">
        <v>30</v>
      </c>
      <c r="D223" s="19" t="s">
        <v>24</v>
      </c>
      <c r="E223" s="11">
        <v>6</v>
      </c>
      <c r="F223" s="682">
        <f>6+3</f>
        <v>9</v>
      </c>
      <c r="G223" s="11">
        <f>5+4</f>
        <v>9</v>
      </c>
      <c r="H223" s="415">
        <f>7-1</f>
        <v>6</v>
      </c>
      <c r="I223" s="415">
        <f>7-2</f>
        <v>5</v>
      </c>
      <c r="J223" s="150">
        <f t="shared" si="75"/>
        <v>181881.77</v>
      </c>
      <c r="K223" s="150">
        <v>181881.77</v>
      </c>
      <c r="L223" s="150"/>
      <c r="M223" s="150"/>
      <c r="N223" s="427">
        <f t="shared" si="72"/>
        <v>1636935.93</v>
      </c>
      <c r="O223" s="427">
        <f t="shared" ref="O223:O225" si="76">G223*K223</f>
        <v>1636935.93</v>
      </c>
      <c r="P223" s="427"/>
      <c r="Q223" s="427"/>
      <c r="R223" s="431"/>
      <c r="S223" s="441"/>
      <c r="T223" s="149">
        <f t="shared" ref="T223:T225" si="77">H223*K223</f>
        <v>1091290.6199999999</v>
      </c>
      <c r="U223" s="149">
        <f t="shared" ref="U223:U225" si="78">I223*K223</f>
        <v>909408.85</v>
      </c>
    </row>
    <row r="224" spans="1:31" x14ac:dyDescent="0.25">
      <c r="A224" s="816"/>
      <c r="B224" s="819"/>
      <c r="C224" s="385" t="s">
        <v>32</v>
      </c>
      <c r="D224" s="19" t="s">
        <v>24</v>
      </c>
      <c r="E224" s="11">
        <v>0</v>
      </c>
      <c r="F224" s="11">
        <v>0</v>
      </c>
      <c r="G224" s="11">
        <f>2-2</f>
        <v>0</v>
      </c>
      <c r="H224" s="415">
        <f>2-2</f>
        <v>0</v>
      </c>
      <c r="I224" s="415">
        <f>2-2</f>
        <v>0</v>
      </c>
      <c r="J224" s="150">
        <f t="shared" si="75"/>
        <v>228591.46</v>
      </c>
      <c r="K224" s="150">
        <v>228591.46</v>
      </c>
      <c r="L224" s="150"/>
      <c r="M224" s="150"/>
      <c r="N224" s="427">
        <f t="shared" si="72"/>
        <v>0</v>
      </c>
      <c r="O224" s="427">
        <f t="shared" si="76"/>
        <v>0</v>
      </c>
      <c r="P224" s="427"/>
      <c r="Q224" s="427"/>
      <c r="R224" s="431"/>
      <c r="S224" s="441"/>
      <c r="T224" s="149">
        <f t="shared" si="77"/>
        <v>0</v>
      </c>
      <c r="U224" s="149">
        <f t="shared" si="78"/>
        <v>0</v>
      </c>
    </row>
    <row r="225" spans="1:31" x14ac:dyDescent="0.25">
      <c r="A225" s="816"/>
      <c r="B225" s="819"/>
      <c r="C225" s="385" t="s">
        <v>52</v>
      </c>
      <c r="D225" s="19" t="s">
        <v>24</v>
      </c>
      <c r="E225" s="11">
        <v>1</v>
      </c>
      <c r="F225" s="682">
        <f>1-1</f>
        <v>0</v>
      </c>
      <c r="G225" s="11">
        <f>1-1</f>
        <v>0</v>
      </c>
      <c r="H225" s="415">
        <f>1-1</f>
        <v>0</v>
      </c>
      <c r="I225" s="415">
        <f>1-1</f>
        <v>0</v>
      </c>
      <c r="J225" s="150">
        <f t="shared" si="75"/>
        <v>384047.72</v>
      </c>
      <c r="K225" s="150">
        <v>384047.72</v>
      </c>
      <c r="L225" s="150"/>
      <c r="M225" s="150"/>
      <c r="N225" s="427">
        <f t="shared" si="72"/>
        <v>0</v>
      </c>
      <c r="O225" s="427">
        <f t="shared" si="76"/>
        <v>0</v>
      </c>
      <c r="P225" s="427"/>
      <c r="Q225" s="427"/>
      <c r="R225" s="431"/>
      <c r="S225" s="441"/>
      <c r="T225" s="149">
        <f t="shared" si="77"/>
        <v>0</v>
      </c>
      <c r="U225" s="149">
        <f t="shared" si="78"/>
        <v>0</v>
      </c>
    </row>
    <row r="226" spans="1:31" ht="82.95" customHeight="1" x14ac:dyDescent="0.25">
      <c r="A226" s="816"/>
      <c r="B226" s="819"/>
      <c r="C226" s="405" t="s">
        <v>73</v>
      </c>
      <c r="D226" s="19" t="s">
        <v>24</v>
      </c>
      <c r="E226" s="11">
        <v>1</v>
      </c>
      <c r="F226" s="682">
        <f>1-1</f>
        <v>0</v>
      </c>
      <c r="G226" s="445">
        <v>0</v>
      </c>
      <c r="H226" s="415">
        <v>0</v>
      </c>
      <c r="I226" s="609">
        <v>0</v>
      </c>
      <c r="J226" s="150">
        <f t="shared" si="75"/>
        <v>500500.38</v>
      </c>
      <c r="K226" s="150">
        <f>498301.52+2198.86</f>
        <v>500500.38</v>
      </c>
      <c r="L226" s="384">
        <v>0</v>
      </c>
      <c r="M226" s="437" t="s">
        <v>637</v>
      </c>
      <c r="N226" s="14">
        <f t="shared" si="72"/>
        <v>0</v>
      </c>
      <c r="O226" s="427">
        <f>G226*K226</f>
        <v>0</v>
      </c>
      <c r="P226" s="427">
        <v>0</v>
      </c>
      <c r="Q226" s="427"/>
      <c r="R226" s="437">
        <f>G226*56222.49</f>
        <v>0</v>
      </c>
      <c r="S226" s="441"/>
      <c r="T226" s="149">
        <f>H226*K226</f>
        <v>0</v>
      </c>
      <c r="U226" s="149">
        <f>I226*K226</f>
        <v>0</v>
      </c>
    </row>
    <row r="227" spans="1:31" ht="82.95" customHeight="1" x14ac:dyDescent="0.25">
      <c r="A227" s="816"/>
      <c r="B227" s="819"/>
      <c r="C227" s="405" t="s">
        <v>74</v>
      </c>
      <c r="D227" s="19" t="s">
        <v>24</v>
      </c>
      <c r="E227" s="11"/>
      <c r="F227" s="11"/>
      <c r="G227" s="11">
        <v>0</v>
      </c>
      <c r="H227" s="415">
        <v>0</v>
      </c>
      <c r="I227" s="415">
        <v>0</v>
      </c>
      <c r="J227" s="150">
        <f t="shared" si="75"/>
        <v>43951.44</v>
      </c>
      <c r="K227" s="150">
        <v>43951.44</v>
      </c>
      <c r="L227" s="427" t="s">
        <v>26</v>
      </c>
      <c r="M227" s="14" t="s">
        <v>26</v>
      </c>
      <c r="N227" s="427">
        <f t="shared" si="72"/>
        <v>0</v>
      </c>
      <c r="O227" s="427">
        <f>G227*K227</f>
        <v>0</v>
      </c>
      <c r="P227" s="427" t="s">
        <v>26</v>
      </c>
      <c r="Q227" s="427"/>
      <c r="R227" s="431" t="s">
        <v>26</v>
      </c>
      <c r="S227" s="441"/>
      <c r="T227" s="149">
        <f>H227*K227</f>
        <v>0</v>
      </c>
      <c r="U227" s="149">
        <f>I227*K227</f>
        <v>0</v>
      </c>
    </row>
    <row r="228" spans="1:31" ht="13.95" customHeight="1" x14ac:dyDescent="0.25">
      <c r="A228" s="816"/>
      <c r="B228" s="819"/>
      <c r="C228" s="416" t="s">
        <v>58</v>
      </c>
      <c r="D228" s="19" t="s">
        <v>59</v>
      </c>
      <c r="E228" s="11">
        <v>5</v>
      </c>
      <c r="F228" s="11">
        <v>5</v>
      </c>
      <c r="G228" s="11">
        <v>5</v>
      </c>
      <c r="H228" s="415">
        <v>5</v>
      </c>
      <c r="I228" s="415">
        <v>5</v>
      </c>
      <c r="J228" s="150">
        <f t="shared" si="75"/>
        <v>234360</v>
      </c>
      <c r="K228" s="150">
        <f>10000*1.5*1.302*12</f>
        <v>234360</v>
      </c>
      <c r="L228" s="427"/>
      <c r="M228" s="14"/>
      <c r="N228" s="478">
        <f t="shared" si="72"/>
        <v>1171800</v>
      </c>
      <c r="O228" s="14">
        <f>G228*K228</f>
        <v>1171800</v>
      </c>
      <c r="P228" s="427"/>
      <c r="Q228" s="427"/>
      <c r="R228" s="431"/>
      <c r="S228" s="441"/>
      <c r="T228" s="149">
        <f>H228*K228-1171800</f>
        <v>0</v>
      </c>
      <c r="U228" s="149">
        <f>I228*K228-1171800</f>
        <v>0</v>
      </c>
    </row>
    <row r="229" spans="1:31" ht="25.2" customHeight="1" x14ac:dyDescent="0.25">
      <c r="A229" s="816"/>
      <c r="B229" s="820"/>
      <c r="C229" s="417" t="s">
        <v>38</v>
      </c>
      <c r="D229" s="19"/>
      <c r="E229" s="11" t="s">
        <v>465</v>
      </c>
      <c r="F229" s="682" t="s">
        <v>527</v>
      </c>
      <c r="G229" s="606" t="s">
        <v>618</v>
      </c>
      <c r="H229" s="606" t="s">
        <v>619</v>
      </c>
      <c r="I229" s="606" t="s">
        <v>620</v>
      </c>
      <c r="J229" s="427" t="s">
        <v>26</v>
      </c>
      <c r="K229" s="427" t="s">
        <v>26</v>
      </c>
      <c r="L229" s="427" t="s">
        <v>26</v>
      </c>
      <c r="M229" s="14" t="s">
        <v>26</v>
      </c>
      <c r="N229" s="418">
        <f>SUM(O229:R229)</f>
        <v>14473499.869999997</v>
      </c>
      <c r="O229" s="427">
        <f>SUM(O218:O228)</f>
        <v>8370351.0599999987</v>
      </c>
      <c r="P229" s="427">
        <f>SUM(P218:P227)</f>
        <v>1661572.0999999999</v>
      </c>
      <c r="Q229" s="427"/>
      <c r="R229" s="775">
        <f>SUM(R218:R227)</f>
        <v>4441576.71</v>
      </c>
      <c r="S229" s="428"/>
      <c r="T229" s="442">
        <f>SUM(T218:T228)</f>
        <v>11996577.009999998</v>
      </c>
      <c r="U229" s="428">
        <f>SUM(U218:U228)</f>
        <v>11163404.299999997</v>
      </c>
    </row>
    <row r="230" spans="1:31" ht="193.2" x14ac:dyDescent="0.25">
      <c r="A230" s="816"/>
      <c r="B230" s="818" t="s">
        <v>316</v>
      </c>
      <c r="C230" s="405" t="s">
        <v>69</v>
      </c>
      <c r="D230" s="19" t="s">
        <v>70</v>
      </c>
      <c r="E230" s="11" t="s">
        <v>466</v>
      </c>
      <c r="F230" s="682" t="s">
        <v>530</v>
      </c>
      <c r="G230" s="11" t="s">
        <v>624</v>
      </c>
      <c r="H230" s="11" t="s">
        <v>625</v>
      </c>
      <c r="I230" s="11" t="s">
        <v>626</v>
      </c>
      <c r="J230" s="384" t="s">
        <v>602</v>
      </c>
      <c r="K230" s="384" t="s">
        <v>603</v>
      </c>
      <c r="L230" s="384" t="s">
        <v>608</v>
      </c>
      <c r="M230" s="437" t="s">
        <v>637</v>
      </c>
      <c r="N230" s="14">
        <f>SUM(O230:R230)</f>
        <v>6509582.3399999999</v>
      </c>
      <c r="O230" s="14">
        <f>((((1507123.31*2)/12*8+(1507123.31*2)/12*4)+((2750.57*48)/12*8+(2750.57*48)/12*4)))</f>
        <v>3146273.98</v>
      </c>
      <c r="P230" s="14">
        <f>((332314.42*2)/12*8)+((332314.42*2)/12*4)</f>
        <v>664628.84</v>
      </c>
      <c r="Q230" s="427"/>
      <c r="R230" s="647">
        <f>((56222.49*48)/12*8)+((56222.49*48)/12*4)</f>
        <v>2698679.52</v>
      </c>
      <c r="S230" s="428"/>
      <c r="T230" s="149">
        <f>W230</f>
        <v>6922393.7599999998</v>
      </c>
      <c r="U230" s="149">
        <f>AB230</f>
        <v>6568555.4000000004</v>
      </c>
      <c r="V230" s="33"/>
      <c r="W230" s="418">
        <f>SUM(X230:Z230)</f>
        <v>6922393.7599999998</v>
      </c>
      <c r="X230" s="478">
        <f>((((1507123.31*2)/12*8+(1507123.31*2)/12*4)+((2750.57*55)/12*8+(2750.57*55)/12*4)))</f>
        <v>3165527.97</v>
      </c>
      <c r="Y230" s="478">
        <f>((332314.42*2)/12*8)+((332314.42*2)/12*4)</f>
        <v>664628.84</v>
      </c>
      <c r="Z230" s="633">
        <f>((56222.49*55)/12*8)+((56222.49*55)/12*4)</f>
        <v>3092236.9499999997</v>
      </c>
      <c r="AB230" s="418">
        <f>SUM(AC230:AE230)</f>
        <v>6568555.4000000004</v>
      </c>
      <c r="AC230" s="478">
        <f>((((1507123.31*2)/12*8+(1507123.31*2)/12*4)+((2750.57*49)/12*8+(2750.57*49)/12*4)))</f>
        <v>3149024.5500000003</v>
      </c>
      <c r="AD230" s="478">
        <f>((332314.42*2)/12*8)+((332314.42*2)/12*4)</f>
        <v>664628.84</v>
      </c>
      <c r="AE230" s="633">
        <f>((56222.49*49)/12*8)+((56222.49*49)/12*4)</f>
        <v>2754902.01</v>
      </c>
    </row>
    <row r="231" spans="1:31" ht="179.4" x14ac:dyDescent="0.25">
      <c r="A231" s="816"/>
      <c r="B231" s="819"/>
      <c r="C231" s="405" t="s">
        <v>71</v>
      </c>
      <c r="D231" s="19" t="s">
        <v>70</v>
      </c>
      <c r="E231" s="607" t="s">
        <v>479</v>
      </c>
      <c r="F231" s="686" t="s">
        <v>531</v>
      </c>
      <c r="G231" s="443" t="s">
        <v>531</v>
      </c>
      <c r="H231" s="443" t="s">
        <v>531</v>
      </c>
      <c r="I231" s="443" t="s">
        <v>531</v>
      </c>
      <c r="J231" s="384" t="s">
        <v>604</v>
      </c>
      <c r="K231" s="384" t="s">
        <v>605</v>
      </c>
      <c r="L231" s="384" t="s">
        <v>608</v>
      </c>
      <c r="M231" s="437" t="s">
        <v>637</v>
      </c>
      <c r="N231" s="427">
        <f>SUM(O231:R231)</f>
        <v>9371499.5999999996</v>
      </c>
      <c r="O231" s="478">
        <f>((((1273397.23*4)/12*8+(1273397.23*4)/12*4)+((2750.57*50)/12*8+(2750.57*50)/12*4)))</f>
        <v>5231117.42</v>
      </c>
      <c r="P231" s="478">
        <f>((332314.42*4)/12*8)+((332314.42*4)/12*4)</f>
        <v>1329257.68</v>
      </c>
      <c r="Q231" s="427"/>
      <c r="R231" s="776">
        <f>((56222.49*50)/12*8)+((56222.49*50)/12*4)</f>
        <v>2811124.5</v>
      </c>
      <c r="S231" s="428"/>
      <c r="T231" s="340">
        <f>W231</f>
        <v>9371499.5999999996</v>
      </c>
      <c r="U231" s="340">
        <f>AB231</f>
        <v>9371499.5999999996</v>
      </c>
      <c r="W231" s="418">
        <f>SUM(X231:Z231)</f>
        <v>9371499.5999999996</v>
      </c>
      <c r="X231" s="478">
        <f>((((1273397.23*4)/12*8+(1273397.23*4)/12*4)+((2750.57*50)/12*8+(2750.57*50)/12*4)))</f>
        <v>5231117.42</v>
      </c>
      <c r="Y231" s="478">
        <f>((332314.42*4)/12*8)+((332314.42*4)/12*4)</f>
        <v>1329257.68</v>
      </c>
      <c r="Z231" s="633">
        <f>((56222.49*50)/12*8)+((56222.49*50)/12*4)</f>
        <v>2811124.5</v>
      </c>
      <c r="AB231" s="418">
        <f>SUM(AC231:AE231)</f>
        <v>9371499.5999999996</v>
      </c>
      <c r="AC231" s="478">
        <f>((((1273397.23*4)/12*8+(1273397.23*4)/12*4)+((2750.57*50)/12*8+(2750.57*50)/12*4)))</f>
        <v>5231117.42</v>
      </c>
      <c r="AD231" s="478">
        <f>((332314.42*4)/12*8)+((332314.42*4)/12*4)</f>
        <v>1329257.68</v>
      </c>
      <c r="AE231" s="633">
        <f>((56222.49*50)/12*8)+((56222.49*50)/12*4)</f>
        <v>2811124.5</v>
      </c>
    </row>
    <row r="232" spans="1:31" ht="82.8" x14ac:dyDescent="0.25">
      <c r="A232" s="816"/>
      <c r="B232" s="820"/>
      <c r="C232" s="405" t="s">
        <v>25</v>
      </c>
      <c r="D232" s="19" t="s">
        <v>24</v>
      </c>
      <c r="E232" s="10" t="s">
        <v>26</v>
      </c>
      <c r="F232" s="10" t="s">
        <v>26</v>
      </c>
      <c r="G232" s="10" t="s">
        <v>26</v>
      </c>
      <c r="H232" s="426" t="s">
        <v>26</v>
      </c>
      <c r="I232" s="426" t="s">
        <v>26</v>
      </c>
      <c r="J232" s="426" t="s">
        <v>26</v>
      </c>
      <c r="K232" s="426" t="s">
        <v>26</v>
      </c>
      <c r="L232" s="426" t="s">
        <v>26</v>
      </c>
      <c r="M232" s="415" t="s">
        <v>26</v>
      </c>
      <c r="N232" s="427"/>
      <c r="O232" s="427"/>
      <c r="P232" s="426" t="s">
        <v>26</v>
      </c>
      <c r="Q232" s="426"/>
      <c r="R232" s="415" t="s">
        <v>26</v>
      </c>
      <c r="S232" s="10"/>
      <c r="T232" s="149"/>
      <c r="U232" s="149"/>
    </row>
    <row r="233" spans="1:31" x14ac:dyDescent="0.25">
      <c r="A233" s="816"/>
      <c r="B233" s="402"/>
      <c r="C233" s="687" t="s">
        <v>57</v>
      </c>
      <c r="D233" s="19" t="s">
        <v>24</v>
      </c>
      <c r="E233" s="443">
        <v>0</v>
      </c>
      <c r="F233" s="686">
        <v>2</v>
      </c>
      <c r="G233" s="11">
        <v>1</v>
      </c>
      <c r="H233" s="444">
        <f>4-1</f>
        <v>3</v>
      </c>
      <c r="I233" s="444">
        <f>6-3</f>
        <v>3</v>
      </c>
      <c r="J233" s="150">
        <f>K233</f>
        <v>98117.04</v>
      </c>
      <c r="K233" s="150">
        <v>98117.04</v>
      </c>
      <c r="L233" s="426" t="s">
        <v>26</v>
      </c>
      <c r="M233" s="415" t="s">
        <v>26</v>
      </c>
      <c r="N233" s="427">
        <f>O233</f>
        <v>98117.04</v>
      </c>
      <c r="O233" s="395">
        <f>G233*K233</f>
        <v>98117.04</v>
      </c>
      <c r="P233" s="426" t="s">
        <v>26</v>
      </c>
      <c r="Q233" s="426"/>
      <c r="R233" s="415" t="s">
        <v>26</v>
      </c>
      <c r="S233" s="10"/>
      <c r="T233" s="149">
        <f>H233*K233</f>
        <v>294351.12</v>
      </c>
      <c r="U233" s="149">
        <f>I233*K233</f>
        <v>294351.12</v>
      </c>
    </row>
    <row r="234" spans="1:31" x14ac:dyDescent="0.25">
      <c r="A234" s="816"/>
      <c r="B234" s="402"/>
      <c r="C234" s="385" t="s">
        <v>31</v>
      </c>
      <c r="D234" s="19" t="s">
        <v>24</v>
      </c>
      <c r="E234" s="607">
        <f>2-2</f>
        <v>0</v>
      </c>
      <c r="F234" s="607">
        <f>2-2</f>
        <v>0</v>
      </c>
      <c r="G234" s="11">
        <v>0</v>
      </c>
      <c r="H234" s="444">
        <f>2-2</f>
        <v>0</v>
      </c>
      <c r="I234" s="444">
        <f>2-2</f>
        <v>0</v>
      </c>
      <c r="J234" s="150">
        <f t="shared" ref="J234:J235" si="79">K234</f>
        <v>347664.17</v>
      </c>
      <c r="K234" s="150">
        <v>347664.17</v>
      </c>
      <c r="L234" s="426" t="s">
        <v>26</v>
      </c>
      <c r="M234" s="415" t="s">
        <v>26</v>
      </c>
      <c r="N234" s="427">
        <f t="shared" ref="N234:N235" si="80">O234</f>
        <v>0</v>
      </c>
      <c r="O234" s="395">
        <f t="shared" ref="O234:O235" si="81">G234*K234</f>
        <v>0</v>
      </c>
      <c r="P234" s="426" t="s">
        <v>26</v>
      </c>
      <c r="Q234" s="426"/>
      <c r="R234" s="415" t="s">
        <v>26</v>
      </c>
      <c r="S234" s="10"/>
      <c r="T234" s="149">
        <f t="shared" ref="T234:T235" si="82">H234*K234</f>
        <v>0</v>
      </c>
      <c r="U234" s="149">
        <f t="shared" ref="U234:U235" si="83">I234*K234</f>
        <v>0</v>
      </c>
    </row>
    <row r="235" spans="1:31" x14ac:dyDescent="0.25">
      <c r="A235" s="816"/>
      <c r="B235" s="402"/>
      <c r="C235" s="687" t="s">
        <v>52</v>
      </c>
      <c r="D235" s="19" t="s">
        <v>24</v>
      </c>
      <c r="E235" s="607">
        <v>0</v>
      </c>
      <c r="F235" s="686">
        <v>1</v>
      </c>
      <c r="G235" s="11">
        <v>0</v>
      </c>
      <c r="H235" s="444">
        <f>5-5</f>
        <v>0</v>
      </c>
      <c r="I235" s="444">
        <f>5-5</f>
        <v>0</v>
      </c>
      <c r="J235" s="150">
        <f t="shared" si="79"/>
        <v>476428.95</v>
      </c>
      <c r="K235" s="150">
        <v>476428.95</v>
      </c>
      <c r="L235" s="426" t="s">
        <v>26</v>
      </c>
      <c r="M235" s="415" t="s">
        <v>26</v>
      </c>
      <c r="N235" s="427">
        <f t="shared" si="80"/>
        <v>0</v>
      </c>
      <c r="O235" s="395">
        <f t="shared" si="81"/>
        <v>0</v>
      </c>
      <c r="P235" s="426" t="s">
        <v>26</v>
      </c>
      <c r="Q235" s="426"/>
      <c r="R235" s="415" t="s">
        <v>26</v>
      </c>
      <c r="S235" s="10"/>
      <c r="T235" s="149">
        <f t="shared" si="82"/>
        <v>0</v>
      </c>
      <c r="U235" s="149">
        <f t="shared" si="83"/>
        <v>0</v>
      </c>
    </row>
    <row r="236" spans="1:31" x14ac:dyDescent="0.25">
      <c r="A236" s="816"/>
      <c r="B236" s="402"/>
      <c r="C236" s="385" t="s">
        <v>34</v>
      </c>
      <c r="D236" s="19" t="s">
        <v>24</v>
      </c>
      <c r="E236" s="607">
        <v>1</v>
      </c>
      <c r="F236" s="686">
        <f>1-1</f>
        <v>0</v>
      </c>
      <c r="G236" s="11">
        <v>0</v>
      </c>
      <c r="H236" s="444">
        <v>1</v>
      </c>
      <c r="I236" s="444">
        <v>3</v>
      </c>
      <c r="J236" s="150">
        <f>K236</f>
        <v>20612.03</v>
      </c>
      <c r="K236" s="150">
        <v>20612.03</v>
      </c>
      <c r="L236" s="426" t="s">
        <v>26</v>
      </c>
      <c r="M236" s="415" t="s">
        <v>26</v>
      </c>
      <c r="N236" s="427">
        <f>O236</f>
        <v>0</v>
      </c>
      <c r="O236" s="395">
        <f>G236*K236</f>
        <v>0</v>
      </c>
      <c r="P236" s="426" t="s">
        <v>26</v>
      </c>
      <c r="Q236" s="426"/>
      <c r="R236" s="415" t="s">
        <v>26</v>
      </c>
      <c r="S236" s="10"/>
      <c r="T236" s="149">
        <f>H236*K236</f>
        <v>20612.03</v>
      </c>
      <c r="U236" s="149">
        <f>I236*K236</f>
        <v>61836.09</v>
      </c>
    </row>
    <row r="237" spans="1:31" ht="82.95" customHeight="1" x14ac:dyDescent="0.25">
      <c r="A237" s="816"/>
      <c r="B237" s="402"/>
      <c r="C237" s="405" t="s">
        <v>73</v>
      </c>
      <c r="D237" s="19" t="s">
        <v>24</v>
      </c>
      <c r="E237" s="607">
        <v>0</v>
      </c>
      <c r="F237" s="686">
        <v>1</v>
      </c>
      <c r="G237" s="606">
        <f>1</f>
        <v>1</v>
      </c>
      <c r="H237" s="444">
        <v>1</v>
      </c>
      <c r="I237" s="444">
        <v>1</v>
      </c>
      <c r="J237" s="150">
        <f>SUM(K237:M237)</f>
        <v>564313.44999999995</v>
      </c>
      <c r="K237" s="150">
        <f>561562.88+2750.57</f>
        <v>564313.44999999995</v>
      </c>
      <c r="L237" s="384"/>
      <c r="M237" s="437" t="s">
        <v>637</v>
      </c>
      <c r="N237" s="395">
        <f>SUM(O237:R237)</f>
        <v>624537.92999999993</v>
      </c>
      <c r="O237" s="395">
        <f>G237*K237</f>
        <v>564313.44999999995</v>
      </c>
      <c r="P237" s="806">
        <f>G237*4001.99</f>
        <v>4001.99</v>
      </c>
      <c r="Q237" s="395"/>
      <c r="R237" s="647">
        <f>((56222.49*1)/12*8)+((56222.49*1)/12*4)</f>
        <v>56222.489999999991</v>
      </c>
      <c r="S237" s="396"/>
      <c r="T237" s="149">
        <f>W237</f>
        <v>532524.05999999994</v>
      </c>
      <c r="U237" s="149">
        <f>AB237</f>
        <v>532524.05999999994</v>
      </c>
      <c r="W237" s="413">
        <f>SUM(X237:Z237)</f>
        <v>532524.05999999994</v>
      </c>
      <c r="X237" s="14">
        <f>((472299.58*1)/12*8)+(472299.58*1)/12*4</f>
        <v>472299.57999999996</v>
      </c>
      <c r="Y237" s="449">
        <f>4001.99*1</f>
        <v>4001.99</v>
      </c>
      <c r="Z237" s="779">
        <f>56222.49*1</f>
        <v>56222.49</v>
      </c>
      <c r="AB237" s="413">
        <f>SUM(AC237:AE237)</f>
        <v>532524.05999999994</v>
      </c>
      <c r="AC237" s="14">
        <f>((472299.58*1)/12*8)+(472299.58*1)/12*4</f>
        <v>472299.57999999996</v>
      </c>
      <c r="AD237" s="449">
        <f>4001.99*1</f>
        <v>4001.99</v>
      </c>
      <c r="AE237" s="779">
        <f>56222.49*1</f>
        <v>56222.49</v>
      </c>
    </row>
    <row r="238" spans="1:31" ht="82.95" customHeight="1" x14ac:dyDescent="0.25">
      <c r="A238" s="816"/>
      <c r="B238" s="402"/>
      <c r="C238" s="405" t="s">
        <v>74</v>
      </c>
      <c r="D238" s="19" t="s">
        <v>24</v>
      </c>
      <c r="E238" s="607">
        <v>2</v>
      </c>
      <c r="F238" s="686">
        <f>2+1</f>
        <v>3</v>
      </c>
      <c r="G238" s="11">
        <f>2-2</f>
        <v>0</v>
      </c>
      <c r="H238" s="444">
        <f>3-3</f>
        <v>0</v>
      </c>
      <c r="I238" s="444">
        <f>3-3</f>
        <v>0</v>
      </c>
      <c r="J238" s="150">
        <f>K238</f>
        <v>64799.67</v>
      </c>
      <c r="K238" s="150">
        <f>62049.1+2750.57</f>
        <v>64799.67</v>
      </c>
      <c r="L238" s="395"/>
      <c r="M238" s="150"/>
      <c r="N238" s="395">
        <f>O238</f>
        <v>0</v>
      </c>
      <c r="O238" s="395">
        <f>G238*K238</f>
        <v>0</v>
      </c>
      <c r="P238" s="395"/>
      <c r="Q238" s="395"/>
      <c r="R238" s="150"/>
      <c r="S238" s="396"/>
      <c r="T238" s="149">
        <f>H238*K238</f>
        <v>0</v>
      </c>
      <c r="U238" s="149">
        <f>I238*K238</f>
        <v>0</v>
      </c>
      <c r="W238" s="781" t="s">
        <v>589</v>
      </c>
    </row>
    <row r="239" spans="1:31" ht="13.95" customHeight="1" x14ac:dyDescent="0.25">
      <c r="A239" s="816"/>
      <c r="B239" s="402"/>
      <c r="C239" s="416" t="s">
        <v>58</v>
      </c>
      <c r="D239" s="19" t="s">
        <v>59</v>
      </c>
      <c r="E239" s="607">
        <v>6</v>
      </c>
      <c r="F239" s="607">
        <v>6</v>
      </c>
      <c r="G239" s="11">
        <v>6</v>
      </c>
      <c r="H239" s="444">
        <v>6</v>
      </c>
      <c r="I239" s="444">
        <v>6</v>
      </c>
      <c r="J239" s="150">
        <f>K239</f>
        <v>234360</v>
      </c>
      <c r="K239" s="150">
        <f>10000*1.5*1.302*12</f>
        <v>234360</v>
      </c>
      <c r="L239" s="395"/>
      <c r="M239" s="150"/>
      <c r="N239" s="449">
        <f>O239</f>
        <v>1406160</v>
      </c>
      <c r="O239" s="150">
        <f>G239*K239</f>
        <v>1406160</v>
      </c>
      <c r="P239" s="395"/>
      <c r="Q239" s="395"/>
      <c r="R239" s="150"/>
      <c r="S239" s="396"/>
      <c r="T239" s="149">
        <f>H239*K239-1406160</f>
        <v>0</v>
      </c>
      <c r="U239" s="149">
        <f>I239*K239-1406160</f>
        <v>0</v>
      </c>
    </row>
    <row r="240" spans="1:31" ht="31.95" customHeight="1" x14ac:dyDescent="0.25">
      <c r="A240" s="816"/>
      <c r="B240" s="402"/>
      <c r="C240" s="420" t="s">
        <v>535</v>
      </c>
      <c r="D240" s="19"/>
      <c r="E240" s="607" t="s">
        <v>532</v>
      </c>
      <c r="F240" s="686" t="s">
        <v>532</v>
      </c>
      <c r="G240" s="608" t="s">
        <v>621</v>
      </c>
      <c r="H240" s="608" t="s">
        <v>622</v>
      </c>
      <c r="I240" s="608" t="s">
        <v>623</v>
      </c>
      <c r="J240" s="395" t="s">
        <v>26</v>
      </c>
      <c r="K240" s="395" t="s">
        <v>26</v>
      </c>
      <c r="L240" s="395" t="s">
        <v>26</v>
      </c>
      <c r="M240" s="150" t="s">
        <v>26</v>
      </c>
      <c r="N240" s="413">
        <f>SUM(O240:R240)</f>
        <v>18009896.909999996</v>
      </c>
      <c r="O240" s="395">
        <f>SUM(O230:O239)</f>
        <v>10445981.889999999</v>
      </c>
      <c r="P240" s="395">
        <f>SUM(P230:P238)</f>
        <v>1997888.51</v>
      </c>
      <c r="Q240" s="395"/>
      <c r="R240" s="646">
        <f>SUM(R230:R238)</f>
        <v>5566026.5099999998</v>
      </c>
      <c r="S240" s="396"/>
      <c r="T240" s="428">
        <f>SUM(T230:T239)</f>
        <v>17141380.569999997</v>
      </c>
      <c r="U240" s="396">
        <f>T240</f>
        <v>17141380.569999997</v>
      </c>
      <c r="V240" s="25"/>
      <c r="W240" s="398" t="s">
        <v>442</v>
      </c>
      <c r="Z240" s="398" t="s">
        <v>354</v>
      </c>
      <c r="AB240" s="398" t="s">
        <v>568</v>
      </c>
      <c r="AE240" s="398" t="s">
        <v>354</v>
      </c>
    </row>
    <row r="241" spans="1:31" ht="179.4" x14ac:dyDescent="0.25">
      <c r="A241" s="816"/>
      <c r="B241" s="404" t="s">
        <v>113</v>
      </c>
      <c r="C241" s="405" t="s">
        <v>71</v>
      </c>
      <c r="D241" s="19" t="s">
        <v>70</v>
      </c>
      <c r="E241" s="11" t="s">
        <v>467</v>
      </c>
      <c r="F241" s="682" t="s">
        <v>533</v>
      </c>
      <c r="G241" s="11" t="s">
        <v>534</v>
      </c>
      <c r="H241" s="11" t="s">
        <v>627</v>
      </c>
      <c r="I241" s="11" t="s">
        <v>534</v>
      </c>
      <c r="J241" s="14" t="s">
        <v>606</v>
      </c>
      <c r="K241" s="384" t="s">
        <v>607</v>
      </c>
      <c r="L241" s="384" t="s">
        <v>608</v>
      </c>
      <c r="M241" s="437" t="s">
        <v>637</v>
      </c>
      <c r="N241" s="150">
        <f>SUM(O241:R241)</f>
        <v>4111157.6799999997</v>
      </c>
      <c r="O241" s="427">
        <f>((((1428519.97*2)/12*8+(1428519.97*2)/12*4)+((2726.4*10)/12*8+(2726.4*10)/12*4)))</f>
        <v>2884303.94</v>
      </c>
      <c r="P241" s="395">
        <f>((332314.42*2)/12*8)+((332314.42*2)/12*4)</f>
        <v>664628.84</v>
      </c>
      <c r="Q241" s="395"/>
      <c r="R241" s="777">
        <f>56222.49*10</f>
        <v>562224.9</v>
      </c>
      <c r="S241" s="149"/>
      <c r="T241" s="149">
        <f>W241</f>
        <v>4523799.9099999992</v>
      </c>
      <c r="U241" s="149">
        <f>AB241</f>
        <v>4000386.2066666665</v>
      </c>
      <c r="W241" s="413">
        <f>SUM(X241:Z241)</f>
        <v>4523799.9099999992</v>
      </c>
      <c r="X241" s="14">
        <f>((((1428519.97*2)/12*8+(1428519.97*2)/12*4)+((2726.4*17)/12*8+(2726.4*17)/12*4)))</f>
        <v>2903388.7399999998</v>
      </c>
      <c r="Y241" s="449">
        <f>((332314.42*2)/12*8)+((332314.42*2)/12*4)</f>
        <v>664628.84</v>
      </c>
      <c r="Z241" s="779">
        <f>56222.49*17</f>
        <v>955782.33</v>
      </c>
      <c r="AB241" s="413">
        <f>SUM(AC241:AE241)</f>
        <v>4000386.2066666665</v>
      </c>
      <c r="AC241" s="492">
        <f>((((1428519.97*2)/12*8+(1428519.97*2)/12*4)+((2726.4*10)/12*8+(2726.4*10)/12*4)))</f>
        <v>2884303.94</v>
      </c>
      <c r="AD241" s="449">
        <f>((332314.42*2)/12*8)+((332314.42)/12*4)</f>
        <v>553857.3666666667</v>
      </c>
      <c r="AE241" s="779">
        <f>56222.49*10</f>
        <v>562224.9</v>
      </c>
    </row>
    <row r="242" spans="1:31" ht="82.8" x14ac:dyDescent="0.25">
      <c r="A242" s="816"/>
      <c r="B242" s="402"/>
      <c r="C242" s="405" t="s">
        <v>25</v>
      </c>
      <c r="D242" s="19" t="s">
        <v>24</v>
      </c>
      <c r="E242" s="11"/>
      <c r="F242" s="11"/>
      <c r="G242" s="11"/>
      <c r="H242" s="415"/>
      <c r="I242" s="415"/>
      <c r="J242" s="384"/>
      <c r="K242" s="384"/>
      <c r="L242" s="384"/>
      <c r="M242" s="14"/>
      <c r="N242" s="395"/>
      <c r="O242" s="427"/>
      <c r="P242" s="395"/>
      <c r="Q242" s="395"/>
      <c r="R242" s="150"/>
      <c r="S242" s="149"/>
      <c r="T242" s="149"/>
      <c r="U242" s="149"/>
    </row>
    <row r="243" spans="1:31" x14ac:dyDescent="0.25">
      <c r="A243" s="816"/>
      <c r="B243" s="402"/>
      <c r="C243" s="385" t="s">
        <v>29</v>
      </c>
      <c r="D243" s="19" t="s">
        <v>24</v>
      </c>
      <c r="E243" s="11"/>
      <c r="F243" s="11"/>
      <c r="G243" s="10">
        <v>0</v>
      </c>
      <c r="H243" s="415"/>
      <c r="I243" s="415"/>
      <c r="J243" s="384">
        <f>K243</f>
        <v>136956.54999999999</v>
      </c>
      <c r="K243" s="384">
        <v>136956.54999999999</v>
      </c>
      <c r="L243" s="384"/>
      <c r="M243" s="14"/>
      <c r="N243" s="395">
        <f>O243</f>
        <v>0</v>
      </c>
      <c r="O243" s="427">
        <f>K243*G243</f>
        <v>0</v>
      </c>
      <c r="P243" s="395"/>
      <c r="Q243" s="395"/>
      <c r="R243" s="150"/>
      <c r="S243" s="149"/>
      <c r="T243" s="149">
        <f>H243*K243</f>
        <v>0</v>
      </c>
      <c r="U243" s="149">
        <f>I243*K243</f>
        <v>0</v>
      </c>
    </row>
    <row r="244" spans="1:31" x14ac:dyDescent="0.25">
      <c r="A244" s="816"/>
      <c r="B244" s="402"/>
      <c r="C244" s="385" t="s">
        <v>34</v>
      </c>
      <c r="D244" s="19" t="s">
        <v>24</v>
      </c>
      <c r="E244" s="11"/>
      <c r="F244" s="11"/>
      <c r="G244" s="10">
        <v>0</v>
      </c>
      <c r="H244" s="415"/>
      <c r="I244" s="415"/>
      <c r="J244" s="384">
        <f>K244</f>
        <v>20612.03</v>
      </c>
      <c r="K244" s="384">
        <v>20612.03</v>
      </c>
      <c r="L244" s="384"/>
      <c r="M244" s="14"/>
      <c r="N244" s="395">
        <f>O244</f>
        <v>0</v>
      </c>
      <c r="O244" s="427">
        <f>K244*G244</f>
        <v>0</v>
      </c>
      <c r="P244" s="395"/>
      <c r="Q244" s="395"/>
      <c r="R244" s="150"/>
      <c r="S244" s="149"/>
      <c r="T244" s="149">
        <f>H244*K244</f>
        <v>0</v>
      </c>
      <c r="U244" s="149">
        <f>I244*K244</f>
        <v>0</v>
      </c>
    </row>
    <row r="245" spans="1:31" ht="13.95" customHeight="1" x14ac:dyDescent="0.25">
      <c r="A245" s="816"/>
      <c r="B245" s="402"/>
      <c r="C245" s="416" t="s">
        <v>58</v>
      </c>
      <c r="D245" s="19" t="s">
        <v>59</v>
      </c>
      <c r="E245" s="11">
        <v>2</v>
      </c>
      <c r="F245" s="11">
        <v>2</v>
      </c>
      <c r="G245" s="11">
        <v>2</v>
      </c>
      <c r="H245" s="415">
        <v>2</v>
      </c>
      <c r="I245" s="415">
        <v>2</v>
      </c>
      <c r="J245" s="384">
        <f>K245</f>
        <v>234360</v>
      </c>
      <c r="K245" s="384">
        <f>10000*1.5*1.302*12</f>
        <v>234360</v>
      </c>
      <c r="L245" s="384"/>
      <c r="M245" s="14"/>
      <c r="N245" s="449">
        <f>O245</f>
        <v>468720</v>
      </c>
      <c r="O245" s="14">
        <f>K245*G245</f>
        <v>468720</v>
      </c>
      <c r="P245" s="395"/>
      <c r="Q245" s="395"/>
      <c r="R245" s="150"/>
      <c r="S245" s="149"/>
      <c r="T245" s="149">
        <f>H245*K245-468720</f>
        <v>0</v>
      </c>
      <c r="U245" s="149">
        <f>I245*K245-468720</f>
        <v>0</v>
      </c>
    </row>
    <row r="246" spans="1:31" ht="25.95" customHeight="1" x14ac:dyDescent="0.25">
      <c r="A246" s="816"/>
      <c r="B246" s="402"/>
      <c r="C246" s="420" t="s">
        <v>38</v>
      </c>
      <c r="D246" s="19"/>
      <c r="E246" s="11" t="str">
        <f>E241</f>
        <v>2\15</v>
      </c>
      <c r="F246" s="682" t="str">
        <f>F241</f>
        <v>2\9</v>
      </c>
      <c r="G246" s="606" t="str">
        <f>G241</f>
        <v>2\10</v>
      </c>
      <c r="H246" s="609" t="str">
        <f>H241</f>
        <v>2\17</v>
      </c>
      <c r="I246" s="609" t="str">
        <f>I241</f>
        <v>2\10</v>
      </c>
      <c r="J246" s="395" t="s">
        <v>26</v>
      </c>
      <c r="K246" s="395" t="s">
        <v>26</v>
      </c>
      <c r="L246" s="395" t="s">
        <v>26</v>
      </c>
      <c r="M246" s="150" t="s">
        <v>26</v>
      </c>
      <c r="N246" s="342">
        <f>SUM(N241:N245)</f>
        <v>4579877.68</v>
      </c>
      <c r="O246" s="150">
        <f>SUM(O241:O245)</f>
        <v>3353023.94</v>
      </c>
      <c r="P246" s="395">
        <f>SUM(P241:P244)</f>
        <v>664628.84</v>
      </c>
      <c r="Q246" s="395"/>
      <c r="R246" s="646">
        <f>SUM(R241:R244)</f>
        <v>562224.9</v>
      </c>
      <c r="S246" s="396"/>
      <c r="T246" s="396">
        <f>SUM(T241:T245)</f>
        <v>4523799.9099999992</v>
      </c>
      <c r="U246" s="396">
        <f>SUM(U241:U245)</f>
        <v>4000386.2066666665</v>
      </c>
    </row>
    <row r="247" spans="1:31" ht="57" customHeight="1" x14ac:dyDescent="0.25">
      <c r="A247" s="816"/>
      <c r="B247" s="823" t="s">
        <v>115</v>
      </c>
      <c r="C247" s="821" t="s">
        <v>75</v>
      </c>
      <c r="D247" s="19" t="s">
        <v>24</v>
      </c>
      <c r="E247" s="607">
        <f>566-9-187+88</f>
        <v>458</v>
      </c>
      <c r="F247" s="694">
        <f>566-9-99</f>
        <v>458</v>
      </c>
      <c r="G247" s="443">
        <v>458</v>
      </c>
      <c r="H247" s="421">
        <v>458</v>
      </c>
      <c r="I247" s="421">
        <v>458</v>
      </c>
      <c r="J247" s="150">
        <f>K247</f>
        <v>5740.85</v>
      </c>
      <c r="K247" s="150">
        <v>5740.85</v>
      </c>
      <c r="L247" s="150" t="s">
        <v>26</v>
      </c>
      <c r="M247" s="150" t="s">
        <v>26</v>
      </c>
      <c r="N247" s="395">
        <f>SUM(O247:R247)</f>
        <v>2629309.3000000003</v>
      </c>
      <c r="O247" s="150">
        <f>K247*G247</f>
        <v>2629309.3000000003</v>
      </c>
      <c r="P247" s="395" t="s">
        <v>26</v>
      </c>
      <c r="Q247" s="395"/>
      <c r="R247" s="150" t="s">
        <v>26</v>
      </c>
      <c r="S247" s="396"/>
      <c r="T247" s="149">
        <f>H247*K247</f>
        <v>2629309.3000000003</v>
      </c>
      <c r="U247" s="149">
        <f>I247*K247</f>
        <v>2629309.3000000003</v>
      </c>
      <c r="X247" s="25"/>
    </row>
    <row r="248" spans="1:31" ht="46.95" customHeight="1" x14ac:dyDescent="0.25">
      <c r="A248" s="816"/>
      <c r="B248" s="824"/>
      <c r="C248" s="822"/>
      <c r="D248" s="433" t="s">
        <v>235</v>
      </c>
      <c r="E248" s="611">
        <v>65196</v>
      </c>
      <c r="F248" s="701">
        <v>65196</v>
      </c>
      <c r="G248" s="704">
        <v>41472</v>
      </c>
      <c r="H248" s="704">
        <v>41472</v>
      </c>
      <c r="I248" s="704">
        <v>41472</v>
      </c>
      <c r="J248" s="394">
        <f>K248</f>
        <v>63.399626253858031</v>
      </c>
      <c r="K248" s="394">
        <f>N248/G248</f>
        <v>63.399626253858031</v>
      </c>
      <c r="L248" s="394" t="s">
        <v>26</v>
      </c>
      <c r="M248" s="394" t="s">
        <v>26</v>
      </c>
      <c r="N248" s="393">
        <f>N247</f>
        <v>2629309.3000000003</v>
      </c>
      <c r="O248" s="393">
        <f>O247</f>
        <v>2629309.3000000003</v>
      </c>
      <c r="P248" s="393" t="s">
        <v>26</v>
      </c>
      <c r="Q248" s="393"/>
      <c r="R248" s="394" t="s">
        <v>26</v>
      </c>
      <c r="S248" s="393"/>
      <c r="T248" s="394">
        <f>T247/G248*H248</f>
        <v>2629309.3000000003</v>
      </c>
      <c r="U248" s="394">
        <f>U247/G248*I248</f>
        <v>2629309.3000000003</v>
      </c>
      <c r="X248" s="25"/>
    </row>
    <row r="249" spans="1:31" x14ac:dyDescent="0.25">
      <c r="A249" s="816"/>
      <c r="B249" s="390"/>
      <c r="C249" s="401" t="s">
        <v>38</v>
      </c>
      <c r="D249" s="409"/>
      <c r="E249" s="6">
        <f>SUM(E247:E247)</f>
        <v>458</v>
      </c>
      <c r="F249" s="607">
        <f>SUM(F247:F247)</f>
        <v>458</v>
      </c>
      <c r="G249" s="607">
        <f>SUM(G247:G247)</f>
        <v>458</v>
      </c>
      <c r="H249" s="444">
        <f>SUM(H247:H247)</f>
        <v>458</v>
      </c>
      <c r="I249" s="444">
        <f>SUM(I247:I247)</f>
        <v>458</v>
      </c>
      <c r="J249" s="395" t="s">
        <v>26</v>
      </c>
      <c r="K249" s="395" t="s">
        <v>26</v>
      </c>
      <c r="L249" s="395" t="s">
        <v>26</v>
      </c>
      <c r="M249" s="150">
        <f t="shared" ref="M249:R249" si="84">SUM(M247:M247)</f>
        <v>0</v>
      </c>
      <c r="N249" s="413">
        <f t="shared" si="84"/>
        <v>2629309.3000000003</v>
      </c>
      <c r="O249" s="395">
        <f t="shared" si="84"/>
        <v>2629309.3000000003</v>
      </c>
      <c r="P249" s="395">
        <f t="shared" si="84"/>
        <v>0</v>
      </c>
      <c r="Q249" s="395"/>
      <c r="R249" s="150">
        <f t="shared" si="84"/>
        <v>0</v>
      </c>
      <c r="S249" s="396"/>
      <c r="T249" s="396">
        <f>N247</f>
        <v>2629309.3000000003</v>
      </c>
      <c r="U249" s="149">
        <f>T247</f>
        <v>2629309.3000000003</v>
      </c>
    </row>
    <row r="250" spans="1:31" x14ac:dyDescent="0.25">
      <c r="A250" s="816"/>
      <c r="B250" s="406" t="s">
        <v>43</v>
      </c>
      <c r="C250" s="400" t="s">
        <v>44</v>
      </c>
      <c r="D250" s="409"/>
      <c r="E250" s="6"/>
      <c r="F250" s="607"/>
      <c r="G250" s="607"/>
      <c r="H250" s="444"/>
      <c r="I250" s="444"/>
      <c r="J250" s="395"/>
      <c r="K250" s="395"/>
      <c r="L250" s="395"/>
      <c r="M250" s="150"/>
      <c r="N250" s="395">
        <f>P250</f>
        <v>0</v>
      </c>
      <c r="O250" s="395"/>
      <c r="P250" s="395"/>
      <c r="Q250" s="395"/>
      <c r="R250" s="150"/>
      <c r="S250" s="396"/>
      <c r="T250" s="396">
        <f>P250</f>
        <v>0</v>
      </c>
      <c r="U250" s="396">
        <f t="shared" ref="U250:U255" si="85">T250</f>
        <v>0</v>
      </c>
    </row>
    <row r="251" spans="1:31" x14ac:dyDescent="0.25">
      <c r="A251" s="816"/>
      <c r="B251" s="407" t="s">
        <v>53</v>
      </c>
      <c r="C251" s="381" t="s">
        <v>54</v>
      </c>
      <c r="D251" s="19" t="s">
        <v>24</v>
      </c>
      <c r="E251" s="6"/>
      <c r="F251" s="607"/>
      <c r="G251" s="607"/>
      <c r="H251" s="444"/>
      <c r="I251" s="444"/>
      <c r="J251" s="395"/>
      <c r="K251" s="395"/>
      <c r="L251" s="395"/>
      <c r="M251" s="150"/>
      <c r="N251" s="395">
        <f>S251</f>
        <v>0</v>
      </c>
      <c r="O251" s="395"/>
      <c r="P251" s="395"/>
      <c r="Q251" s="395"/>
      <c r="R251" s="150"/>
      <c r="S251" s="396"/>
      <c r="T251" s="396">
        <f>S251</f>
        <v>0</v>
      </c>
      <c r="U251" s="396">
        <f t="shared" si="85"/>
        <v>0</v>
      </c>
    </row>
    <row r="252" spans="1:31" hidden="1" x14ac:dyDescent="0.25">
      <c r="A252" s="816"/>
      <c r="B252" s="407" t="s">
        <v>53</v>
      </c>
      <c r="C252" s="381" t="s">
        <v>44</v>
      </c>
      <c r="D252" s="19" t="s">
        <v>24</v>
      </c>
      <c r="E252" s="6"/>
      <c r="F252" s="607"/>
      <c r="G252" s="607"/>
      <c r="H252" s="444"/>
      <c r="I252" s="444"/>
      <c r="J252" s="395"/>
      <c r="K252" s="395"/>
      <c r="L252" s="395"/>
      <c r="M252" s="150"/>
      <c r="N252" s="395">
        <f>Q252</f>
        <v>0</v>
      </c>
      <c r="O252" s="395"/>
      <c r="P252" s="395"/>
      <c r="Q252" s="395"/>
      <c r="R252" s="150"/>
      <c r="S252" s="396"/>
      <c r="T252" s="396"/>
      <c r="U252" s="396"/>
    </row>
    <row r="253" spans="1:31" hidden="1" x14ac:dyDescent="0.25">
      <c r="A253" s="816"/>
      <c r="B253" s="407" t="s">
        <v>55</v>
      </c>
      <c r="C253" s="381" t="s">
        <v>54</v>
      </c>
      <c r="D253" s="19"/>
      <c r="E253" s="6"/>
      <c r="F253" s="607"/>
      <c r="G253" s="607"/>
      <c r="H253" s="444"/>
      <c r="I253" s="444"/>
      <c r="J253" s="395"/>
      <c r="K253" s="395"/>
      <c r="L253" s="395"/>
      <c r="M253" s="150"/>
      <c r="N253" s="395">
        <f>S253</f>
        <v>0</v>
      </c>
      <c r="O253" s="395"/>
      <c r="P253" s="395"/>
      <c r="Q253" s="395"/>
      <c r="R253" s="150"/>
      <c r="S253" s="396"/>
      <c r="T253" s="396"/>
      <c r="U253" s="396"/>
    </row>
    <row r="254" spans="1:31" x14ac:dyDescent="0.25">
      <c r="A254" s="816"/>
      <c r="B254" s="407" t="s">
        <v>47</v>
      </c>
      <c r="C254" s="381" t="s">
        <v>44</v>
      </c>
      <c r="D254" s="19"/>
      <c r="E254" s="6">
        <v>13</v>
      </c>
      <c r="F254" s="607">
        <v>13</v>
      </c>
      <c r="G254" s="607">
        <v>13</v>
      </c>
      <c r="H254" s="444">
        <v>13</v>
      </c>
      <c r="I254" s="444">
        <v>13</v>
      </c>
      <c r="J254" s="395"/>
      <c r="K254" s="395"/>
      <c r="L254" s="395"/>
      <c r="M254" s="150"/>
      <c r="N254" s="395">
        <v>0</v>
      </c>
      <c r="O254" s="150">
        <f>O245+O239+O228</f>
        <v>3046680</v>
      </c>
      <c r="P254" s="395"/>
      <c r="Q254" s="395"/>
      <c r="R254" s="150"/>
      <c r="S254" s="396"/>
      <c r="T254" s="396">
        <v>3046680</v>
      </c>
      <c r="U254" s="396">
        <f>T254</f>
        <v>3046680</v>
      </c>
    </row>
    <row r="255" spans="1:31" ht="13.95" hidden="1" customHeight="1" x14ac:dyDescent="0.25">
      <c r="A255" s="816"/>
      <c r="B255" s="407" t="s">
        <v>48</v>
      </c>
      <c r="C255" s="381" t="s">
        <v>44</v>
      </c>
      <c r="D255" s="19"/>
      <c r="E255" s="6"/>
      <c r="F255" s="607"/>
      <c r="G255" s="607"/>
      <c r="H255" s="444"/>
      <c r="I255" s="444"/>
      <c r="J255" s="395"/>
      <c r="K255" s="395"/>
      <c r="L255" s="395"/>
      <c r="M255" s="150"/>
      <c r="N255" s="395">
        <f t="shared" ref="N255" si="86">O255</f>
        <v>0</v>
      </c>
      <c r="O255" s="395"/>
      <c r="P255" s="395">
        <f t="shared" ref="P255:P256" si="87">G255*L255</f>
        <v>0</v>
      </c>
      <c r="Q255" s="395"/>
      <c r="R255" s="150"/>
      <c r="S255" s="396"/>
      <c r="T255" s="396">
        <f>O255</f>
        <v>0</v>
      </c>
      <c r="U255" s="396">
        <f t="shared" si="85"/>
        <v>0</v>
      </c>
    </row>
    <row r="256" spans="1:31" ht="13.95" customHeight="1" x14ac:dyDescent="0.25">
      <c r="A256" s="816"/>
      <c r="B256" s="408" t="s">
        <v>45</v>
      </c>
      <c r="C256" s="381" t="s">
        <v>44</v>
      </c>
      <c r="D256" s="410" t="s">
        <v>46</v>
      </c>
      <c r="E256" s="6">
        <f>1+3</f>
        <v>4</v>
      </c>
      <c r="F256" s="607">
        <f>1+3</f>
        <v>4</v>
      </c>
      <c r="G256" s="11">
        <v>4</v>
      </c>
      <c r="H256" s="444">
        <f>1+3</f>
        <v>4</v>
      </c>
      <c r="I256" s="444">
        <f>1+3</f>
        <v>4</v>
      </c>
      <c r="J256" s="395"/>
      <c r="K256" s="395"/>
      <c r="L256" s="395">
        <v>354516.06</v>
      </c>
      <c r="M256" s="150"/>
      <c r="N256" s="414">
        <f>P256</f>
        <v>1418064.24</v>
      </c>
      <c r="O256" s="395"/>
      <c r="P256" s="395">
        <f t="shared" si="87"/>
        <v>1418064.24</v>
      </c>
      <c r="Q256" s="395"/>
      <c r="R256" s="150"/>
      <c r="S256" s="396"/>
      <c r="T256" s="396">
        <f>P256</f>
        <v>1418064.24</v>
      </c>
      <c r="U256" s="396">
        <f>T256</f>
        <v>1418064.24</v>
      </c>
    </row>
    <row r="257" spans="1:28" ht="27.6" x14ac:dyDescent="0.25">
      <c r="A257" s="816"/>
      <c r="B257" s="408" t="s">
        <v>45</v>
      </c>
      <c r="C257" s="401" t="s">
        <v>44</v>
      </c>
      <c r="D257" s="410" t="s">
        <v>46</v>
      </c>
      <c r="E257" s="607">
        <f>6-3</f>
        <v>3</v>
      </c>
      <c r="F257" s="607">
        <f>6-3</f>
        <v>3</v>
      </c>
      <c r="G257" s="607">
        <f>6-3</f>
        <v>3</v>
      </c>
      <c r="H257" s="607">
        <f>6-3</f>
        <v>3</v>
      </c>
      <c r="I257" s="607">
        <f>6-3</f>
        <v>3</v>
      </c>
      <c r="J257" s="395"/>
      <c r="K257" s="395"/>
      <c r="L257" s="395">
        <v>354411.02</v>
      </c>
      <c r="M257" s="150"/>
      <c r="N257" s="414">
        <f>P257</f>
        <v>1063233.06</v>
      </c>
      <c r="O257" s="395"/>
      <c r="P257" s="395">
        <f>G257*L257</f>
        <v>1063233.06</v>
      </c>
      <c r="Q257" s="395"/>
      <c r="R257" s="150"/>
      <c r="S257" s="396"/>
      <c r="T257" s="396">
        <f>P257</f>
        <v>1063233.06</v>
      </c>
      <c r="U257" s="396">
        <f>T257</f>
        <v>1063233.06</v>
      </c>
    </row>
    <row r="258" spans="1:28" ht="23.4" customHeight="1" x14ac:dyDescent="0.25">
      <c r="A258" s="817"/>
      <c r="B258" s="407" t="s">
        <v>50</v>
      </c>
      <c r="C258" s="381"/>
      <c r="D258" s="381"/>
      <c r="E258" s="621">
        <f>204-E238</f>
        <v>202</v>
      </c>
      <c r="F258" s="711">
        <v>185</v>
      </c>
      <c r="G258" s="712">
        <v>188</v>
      </c>
      <c r="H258" s="759">
        <v>189</v>
      </c>
      <c r="I258" s="759">
        <v>168</v>
      </c>
      <c r="J258" s="388"/>
      <c r="K258" s="388"/>
      <c r="L258" s="388"/>
      <c r="M258" s="391"/>
      <c r="N258" s="388">
        <f>SUM(O258:S258)</f>
        <v>42173881.059999995</v>
      </c>
      <c r="O258" s="388">
        <f>O229+O240+O246+O249+O255</f>
        <v>24798666.189999998</v>
      </c>
      <c r="P258" s="388">
        <f>P229+P240+P246+P249+P250+P251+P252+P257+P256</f>
        <v>6805386.75</v>
      </c>
      <c r="Q258" s="388">
        <f>Q229+Q240+Q246+Q249+Q250+Q251+Q252</f>
        <v>0</v>
      </c>
      <c r="R258" s="778">
        <f>R229+R240+R246+R249+R250+R251+R252+R253</f>
        <v>10569828.119999999</v>
      </c>
      <c r="S258" s="397">
        <f>S229+S240+S246+S249+S250+S251+S252+S253</f>
        <v>0</v>
      </c>
      <c r="T258" s="397">
        <f>T229+T240+T246+T249+T250+T251+T252+T253+T255+T256</f>
        <v>37709131.029999994</v>
      </c>
      <c r="U258" s="397">
        <f>U229+U240+U246+U249+U250+U251+U252+U253+U255+U256</f>
        <v>36352544.61666666</v>
      </c>
      <c r="X258" s="25"/>
      <c r="AB258" s="25"/>
    </row>
    <row r="259" spans="1:28" ht="19.2" customHeight="1" x14ac:dyDescent="0.25">
      <c r="A259" s="34"/>
      <c r="B259" s="812" t="s">
        <v>76</v>
      </c>
      <c r="C259" s="813"/>
      <c r="D259" s="813"/>
      <c r="E259" s="813"/>
      <c r="F259" s="813"/>
      <c r="G259" s="813"/>
      <c r="H259" s="813"/>
      <c r="I259" s="813"/>
      <c r="J259" s="813"/>
      <c r="K259" s="813"/>
      <c r="L259" s="813"/>
      <c r="M259" s="814"/>
      <c r="N259" s="391">
        <f t="shared" ref="N259:U259" si="88">N258+N217+N172+N130+N90+N48</f>
        <v>483684992.648</v>
      </c>
      <c r="O259" s="391">
        <f t="shared" si="88"/>
        <v>312506196.32999998</v>
      </c>
      <c r="P259" s="391">
        <f t="shared" si="88"/>
        <v>70808008.878000006</v>
      </c>
      <c r="Q259" s="391">
        <f t="shared" si="88"/>
        <v>0</v>
      </c>
      <c r="R259" s="782">
        <f t="shared" si="88"/>
        <v>100370787.44</v>
      </c>
      <c r="S259" s="399">
        <f t="shared" si="88"/>
        <v>0</v>
      </c>
      <c r="T259" s="399">
        <f t="shared" si="88"/>
        <v>457819878.39999998</v>
      </c>
      <c r="U259" s="399">
        <f t="shared" si="88"/>
        <v>460497684.53666663</v>
      </c>
      <c r="Y259" s="383"/>
    </row>
    <row r="260" spans="1:28" x14ac:dyDescent="0.25">
      <c r="A260" s="1" t="s">
        <v>77</v>
      </c>
      <c r="T260" s="35"/>
      <c r="U260" s="35"/>
    </row>
    <row r="261" spans="1:28" x14ac:dyDescent="0.25">
      <c r="A261" s="1" t="s">
        <v>78</v>
      </c>
      <c r="O261" s="25"/>
      <c r="R261" s="25"/>
      <c r="T261" s="36"/>
    </row>
    <row r="262" spans="1:28" ht="13.95" hidden="1" customHeight="1" x14ac:dyDescent="0.25">
      <c r="O262" s="81">
        <f>O254+O214+O169+O127+O87+O45</f>
        <v>33044800</v>
      </c>
      <c r="T262" s="36"/>
      <c r="U262" s="36"/>
    </row>
    <row r="263" spans="1:28" x14ac:dyDescent="0.25">
      <c r="O263" s="25"/>
      <c r="R263" s="37">
        <f>R258-9296123.24</f>
        <v>1273704.879999999</v>
      </c>
      <c r="S263" s="36"/>
      <c r="V263" s="25"/>
      <c r="W263" s="25"/>
    </row>
    <row r="264" spans="1:28" x14ac:dyDescent="0.25">
      <c r="O264" s="25"/>
      <c r="P264" s="25"/>
      <c r="R264" s="25"/>
    </row>
    <row r="265" spans="1:28" x14ac:dyDescent="0.25">
      <c r="O265" s="25"/>
      <c r="P265" s="25"/>
      <c r="R265" s="25"/>
      <c r="T265" s="36"/>
    </row>
    <row r="266" spans="1:28" x14ac:dyDescent="0.25">
      <c r="O266" s="25"/>
      <c r="P266" s="25"/>
      <c r="R266" s="25"/>
    </row>
    <row r="267" spans="1:28" x14ac:dyDescent="0.25">
      <c r="O267" s="25"/>
      <c r="P267" s="25"/>
    </row>
    <row r="268" spans="1:28" x14ac:dyDescent="0.25">
      <c r="O268" s="25"/>
      <c r="P268" s="25"/>
    </row>
    <row r="269" spans="1:28" x14ac:dyDescent="0.25">
      <c r="O269" s="25"/>
      <c r="P269" s="25"/>
    </row>
    <row r="270" spans="1:28" x14ac:dyDescent="0.25">
      <c r="O270" s="25"/>
      <c r="P270" s="25"/>
    </row>
    <row r="271" spans="1:28" x14ac:dyDescent="0.25">
      <c r="I271" s="38"/>
      <c r="O271" s="25"/>
      <c r="P271" s="25"/>
    </row>
    <row r="272" spans="1:28" x14ac:dyDescent="0.25">
      <c r="O272" s="25"/>
      <c r="P272" s="25"/>
    </row>
    <row r="273" spans="15:18" x14ac:dyDescent="0.25">
      <c r="O273" s="25"/>
      <c r="P273" s="25"/>
    </row>
    <row r="274" spans="15:18" x14ac:dyDescent="0.25">
      <c r="O274" s="25"/>
      <c r="P274" s="25"/>
    </row>
    <row r="275" spans="15:18" x14ac:dyDescent="0.25">
      <c r="O275" s="25"/>
      <c r="P275" s="25"/>
    </row>
    <row r="276" spans="15:18" x14ac:dyDescent="0.25">
      <c r="O276" s="25"/>
      <c r="P276" s="25"/>
    </row>
    <row r="277" spans="15:18" x14ac:dyDescent="0.25">
      <c r="O277" s="25"/>
      <c r="P277" s="25"/>
    </row>
    <row r="278" spans="15:18" x14ac:dyDescent="0.25">
      <c r="R278" s="25"/>
    </row>
    <row r="279" spans="15:18" x14ac:dyDescent="0.25">
      <c r="R279" s="25"/>
    </row>
    <row r="280" spans="15:18" x14ac:dyDescent="0.25">
      <c r="O280" s="25"/>
      <c r="R280" s="25"/>
    </row>
    <row r="301" spans="15:17" x14ac:dyDescent="0.25">
      <c r="O301" s="25"/>
      <c r="P301" s="25"/>
      <c r="Q301" s="25"/>
    </row>
    <row r="302" spans="15:17" x14ac:dyDescent="0.25">
      <c r="O302" s="25"/>
      <c r="P302" s="25"/>
      <c r="Q302" s="25"/>
    </row>
    <row r="303" spans="15:17" x14ac:dyDescent="0.25">
      <c r="O303" s="25"/>
      <c r="P303" s="25"/>
      <c r="Q303" s="25"/>
    </row>
    <row r="306" spans="1:15" x14ac:dyDescent="0.25">
      <c r="O306" s="25"/>
    </row>
    <row r="308" spans="1:15" ht="13.95" hidden="1" customHeight="1" x14ac:dyDescent="0.25">
      <c r="H308" s="1">
        <v>2</v>
      </c>
    </row>
    <row r="309" spans="1:15" ht="13.95" hidden="1" customHeight="1" x14ac:dyDescent="0.25">
      <c r="D309" s="39">
        <v>286</v>
      </c>
      <c r="E309" s="40"/>
      <c r="F309" s="40"/>
      <c r="G309" s="40">
        <v>3</v>
      </c>
      <c r="H309" s="39">
        <v>244</v>
      </c>
      <c r="I309" s="39">
        <v>46</v>
      </c>
      <c r="J309" s="39">
        <v>69</v>
      </c>
      <c r="K309" s="39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24" t="s">
        <v>43</v>
      </c>
      <c r="C310" s="41">
        <v>118131</v>
      </c>
      <c r="D310" s="42"/>
      <c r="E310" s="43"/>
      <c r="F310" s="43"/>
      <c r="G310" s="43"/>
      <c r="H310" s="44"/>
      <c r="I310" s="44"/>
      <c r="J310" s="44"/>
      <c r="K310" s="44"/>
      <c r="L310" s="25">
        <f>(C310+C316)</f>
        <v>522719</v>
      </c>
      <c r="M310" s="25">
        <f>(C314+C315)</f>
        <v>1356154</v>
      </c>
      <c r="N310" s="25">
        <f>(C311+C313)</f>
        <v>3584396</v>
      </c>
      <c r="O310" s="25">
        <f>L310+M310+N310</f>
        <v>5463269</v>
      </c>
    </row>
    <row r="311" spans="1:15" ht="13.95" hidden="1" customHeight="1" x14ac:dyDescent="0.25">
      <c r="B311" s="28" t="s">
        <v>53</v>
      </c>
      <c r="C311" s="41">
        <v>3308494</v>
      </c>
      <c r="D311" s="42"/>
      <c r="E311" s="43"/>
      <c r="F311" s="43"/>
      <c r="G311" s="43"/>
      <c r="H311" s="44"/>
      <c r="I311" s="44"/>
      <c r="J311" s="44"/>
      <c r="K311" s="44"/>
      <c r="L311" s="25">
        <f>L310/K309</f>
        <v>806.66512345679007</v>
      </c>
      <c r="M311" s="25">
        <f>M310/K309</f>
        <v>2092.8302469135801</v>
      </c>
      <c r="N311" s="25">
        <f>N310/K309</f>
        <v>5531.4753086419751</v>
      </c>
    </row>
    <row r="312" spans="1:15" ht="13.95" hidden="1" customHeight="1" x14ac:dyDescent="0.25">
      <c r="B312" s="28" t="s">
        <v>53</v>
      </c>
      <c r="C312" s="41"/>
      <c r="D312" s="42"/>
      <c r="E312" s="43"/>
      <c r="F312" s="43"/>
      <c r="G312" s="43"/>
      <c r="H312" s="44"/>
      <c r="I312" s="44"/>
      <c r="J312" s="44"/>
      <c r="K312" s="44"/>
      <c r="L312" s="25"/>
    </row>
    <row r="313" spans="1:15" ht="13.95" hidden="1" customHeight="1" x14ac:dyDescent="0.25">
      <c r="B313" s="28" t="s">
        <v>55</v>
      </c>
      <c r="C313" s="41">
        <v>275902</v>
      </c>
      <c r="D313" s="42"/>
      <c r="E313" s="43"/>
      <c r="F313" s="43"/>
      <c r="G313" s="43"/>
      <c r="H313" s="44"/>
      <c r="I313" s="44"/>
      <c r="J313" s="44"/>
      <c r="K313" s="44"/>
      <c r="L313" s="25">
        <f>C310+691346</f>
        <v>809477</v>
      </c>
      <c r="M313" s="25">
        <f>C315+3249792</f>
        <v>3522682</v>
      </c>
      <c r="N313" s="25">
        <f>C311</f>
        <v>3308494</v>
      </c>
    </row>
    <row r="314" spans="1:15" ht="13.95" hidden="1" customHeight="1" x14ac:dyDescent="0.25">
      <c r="B314" s="28" t="s">
        <v>47</v>
      </c>
      <c r="C314" s="41">
        <v>1083264</v>
      </c>
      <c r="D314" s="44"/>
      <c r="E314" s="43"/>
      <c r="F314" s="43"/>
      <c r="G314" s="43"/>
      <c r="H314" s="44"/>
      <c r="I314" s="44"/>
      <c r="J314" s="44"/>
      <c r="K314" s="44"/>
      <c r="L314" s="25">
        <f>L313-L310</f>
        <v>286758</v>
      </c>
      <c r="M314" s="25">
        <f>M313-M310</f>
        <v>2166528</v>
      </c>
      <c r="N314" s="25">
        <f>N313-N310</f>
        <v>-275902</v>
      </c>
    </row>
    <row r="315" spans="1:15" ht="13.95" hidden="1" customHeight="1" x14ac:dyDescent="0.25">
      <c r="B315" s="28" t="s">
        <v>48</v>
      </c>
      <c r="C315" s="41">
        <v>272890</v>
      </c>
      <c r="D315" s="44"/>
      <c r="E315" s="43"/>
      <c r="F315" s="43"/>
      <c r="G315" s="43"/>
      <c r="H315" s="44"/>
      <c r="I315" s="44"/>
      <c r="J315" s="44"/>
      <c r="K315" s="44"/>
      <c r="L315" s="25">
        <f>L314/K309</f>
        <v>442.52777777777777</v>
      </c>
      <c r="M315" s="25">
        <f>M314/K309</f>
        <v>3343.4074074074074</v>
      </c>
      <c r="N315" s="25">
        <f>N314/K309</f>
        <v>-425.77469135802471</v>
      </c>
    </row>
    <row r="316" spans="1:15" ht="13.95" hidden="1" customHeight="1" x14ac:dyDescent="0.25">
      <c r="B316" s="28" t="s">
        <v>49</v>
      </c>
      <c r="C316" s="41">
        <v>404588</v>
      </c>
      <c r="D316" s="44"/>
      <c r="E316" s="43"/>
      <c r="F316" s="43"/>
      <c r="G316" s="43"/>
      <c r="H316" s="44"/>
      <c r="I316" s="44"/>
      <c r="J316" s="44"/>
      <c r="K316" s="44"/>
      <c r="L316" s="25">
        <f>D309*L315</f>
        <v>126562.94444444444</v>
      </c>
      <c r="M316" s="25">
        <f>D309*M315</f>
        <v>956214.51851851854</v>
      </c>
      <c r="N316" s="25">
        <f>D309*N315</f>
        <v>-121771.56172839507</v>
      </c>
      <c r="O316" s="25">
        <f t="shared" ref="O316:O321" si="89">L316+M316+N316</f>
        <v>961005.90123456786</v>
      </c>
    </row>
    <row r="317" spans="1:15" ht="13.95" hidden="1" customHeight="1" x14ac:dyDescent="0.25">
      <c r="B317" s="29" t="s">
        <v>50</v>
      </c>
      <c r="C317" s="41">
        <f>SUM(C310:C316)</f>
        <v>5463269</v>
      </c>
      <c r="D317" s="44"/>
      <c r="E317" s="43"/>
      <c r="F317" s="43"/>
      <c r="G317" s="43"/>
      <c r="H317" s="44"/>
      <c r="I317" s="44"/>
      <c r="J317" s="44"/>
      <c r="K317" s="44"/>
      <c r="L317" s="25">
        <f>G309*L315</f>
        <v>1327.5833333333333</v>
      </c>
      <c r="M317" s="25">
        <f>G309*M315</f>
        <v>10030.222222222223</v>
      </c>
      <c r="N317" s="25">
        <f>G309*N315</f>
        <v>-1277.3240740740741</v>
      </c>
      <c r="O317" s="25">
        <f t="shared" si="89"/>
        <v>10080.481481481482</v>
      </c>
    </row>
    <row r="318" spans="1:15" ht="13.95" hidden="1" customHeight="1" x14ac:dyDescent="0.25">
      <c r="L318" s="25">
        <f>242*L315</f>
        <v>107091.72222222222</v>
      </c>
      <c r="M318" s="25">
        <f>242*M315</f>
        <v>809104.59259259258</v>
      </c>
      <c r="N318" s="25">
        <f>242*N315</f>
        <v>-103037.47530864198</v>
      </c>
      <c r="O318" s="25">
        <f t="shared" si="89"/>
        <v>813158.83950617281</v>
      </c>
    </row>
    <row r="319" spans="1:15" ht="13.95" hidden="1" customHeight="1" x14ac:dyDescent="0.25">
      <c r="D319" s="45"/>
      <c r="L319" s="25">
        <f>2*L315</f>
        <v>885.05555555555554</v>
      </c>
      <c r="M319" s="25">
        <f>2*M315</f>
        <v>6686.8148148148148</v>
      </c>
      <c r="N319" s="25">
        <f>2*N315</f>
        <v>-851.54938271604942</v>
      </c>
      <c r="O319" s="25">
        <f t="shared" si="89"/>
        <v>6720.3209876543206</v>
      </c>
    </row>
    <row r="320" spans="1:15" ht="13.95" hidden="1" customHeight="1" x14ac:dyDescent="0.25">
      <c r="D320" s="46"/>
      <c r="L320" s="25">
        <f>I309*L315</f>
        <v>20356.277777777777</v>
      </c>
      <c r="M320" s="25">
        <f>I309*M315</f>
        <v>153796.74074074073</v>
      </c>
      <c r="N320" s="25">
        <f>I309*N315</f>
        <v>-19585.635802469136</v>
      </c>
      <c r="O320" s="25">
        <f t="shared" si="89"/>
        <v>154567.38271604938</v>
      </c>
    </row>
    <row r="321" spans="1:15" ht="13.95" hidden="1" customHeight="1" x14ac:dyDescent="0.25">
      <c r="D321" s="46"/>
      <c r="L321" s="25">
        <f>J309*L315</f>
        <v>30534.416666666668</v>
      </c>
      <c r="M321" s="25">
        <f>J309*M315</f>
        <v>230695.11111111112</v>
      </c>
      <c r="N321" s="25">
        <f>J309*N315</f>
        <v>-29378.453703703704</v>
      </c>
      <c r="O321" s="25">
        <f t="shared" si="89"/>
        <v>231851.07407407407</v>
      </c>
    </row>
    <row r="322" spans="1:15" ht="13.95" hidden="1" customHeight="1" x14ac:dyDescent="0.25">
      <c r="D322" s="46"/>
    </row>
    <row r="323" spans="1:15" ht="13.95" hidden="1" customHeight="1" x14ac:dyDescent="0.25">
      <c r="D323" s="46"/>
    </row>
    <row r="324" spans="1:15" ht="13.95" hidden="1" customHeight="1" x14ac:dyDescent="0.25">
      <c r="D324" s="46"/>
    </row>
    <row r="325" spans="1:15" ht="13.95" hidden="1" customHeight="1" x14ac:dyDescent="0.25">
      <c r="D325" s="39">
        <v>261</v>
      </c>
      <c r="E325" s="40"/>
      <c r="F325" s="40"/>
      <c r="G325" s="40">
        <v>2</v>
      </c>
      <c r="H325" s="39">
        <v>219</v>
      </c>
      <c r="I325" s="39">
        <v>2</v>
      </c>
      <c r="J325" s="39">
        <v>44</v>
      </c>
      <c r="K325" s="39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24" t="s">
        <v>43</v>
      </c>
      <c r="C326" s="41">
        <v>96255</v>
      </c>
      <c r="D326" s="42"/>
      <c r="E326" s="43"/>
      <c r="F326" s="43"/>
      <c r="G326" s="43"/>
      <c r="H326" s="44"/>
      <c r="I326" s="44"/>
      <c r="J326" s="44"/>
      <c r="K326" s="44"/>
      <c r="L326" s="25">
        <f>C326+C328+C332</f>
        <v>1031146</v>
      </c>
      <c r="M326" s="25">
        <f>C330+C331</f>
        <v>1027677</v>
      </c>
      <c r="N326" s="25">
        <f>C327+C329</f>
        <v>4122597</v>
      </c>
      <c r="O326" s="25">
        <f>L326+M326+N326</f>
        <v>6181420</v>
      </c>
    </row>
    <row r="327" spans="1:15" ht="13.95" hidden="1" customHeight="1" x14ac:dyDescent="0.25">
      <c r="B327" s="28" t="s">
        <v>53</v>
      </c>
      <c r="C327" s="41">
        <v>3813252</v>
      </c>
      <c r="D327" s="42"/>
      <c r="E327" s="43"/>
      <c r="F327" s="43"/>
      <c r="G327" s="43"/>
      <c r="H327" s="44"/>
      <c r="I327" s="44"/>
      <c r="J327" s="44"/>
      <c r="K327" s="44"/>
      <c r="L327" s="25">
        <f>L326/K325</f>
        <v>1952.9280303030303</v>
      </c>
      <c r="M327" s="25">
        <f>M326/K325</f>
        <v>1946.3579545454545</v>
      </c>
      <c r="N327" s="25">
        <f>N326/K325</f>
        <v>7807.948863636364</v>
      </c>
    </row>
    <row r="328" spans="1:15" ht="13.95" hidden="1" customHeight="1" x14ac:dyDescent="0.25">
      <c r="B328" s="28" t="s">
        <v>53</v>
      </c>
      <c r="C328" s="41">
        <v>606031</v>
      </c>
      <c r="D328" s="42"/>
      <c r="E328" s="43"/>
      <c r="F328" s="43"/>
      <c r="G328" s="43"/>
      <c r="H328" s="44"/>
      <c r="I328" s="44"/>
      <c r="J328" s="44"/>
      <c r="K328" s="44"/>
    </row>
    <row r="329" spans="1:15" ht="13.95" hidden="1" customHeight="1" x14ac:dyDescent="0.25">
      <c r="B329" s="28" t="s">
        <v>55</v>
      </c>
      <c r="C329" s="41">
        <v>309345</v>
      </c>
      <c r="D329" s="42"/>
      <c r="E329" s="43"/>
      <c r="F329" s="43"/>
      <c r="G329" s="43"/>
      <c r="H329" s="44"/>
      <c r="I329" s="44"/>
      <c r="J329" s="44"/>
      <c r="K329" s="44"/>
      <c r="L329" s="25">
        <f>C326+C328+563319</f>
        <v>1265605</v>
      </c>
      <c r="M329" s="25">
        <f>C331+2624832</f>
        <v>2777565</v>
      </c>
      <c r="N329" s="25">
        <f>C327</f>
        <v>3813252</v>
      </c>
    </row>
    <row r="330" spans="1:15" ht="13.95" hidden="1" customHeight="1" x14ac:dyDescent="0.25">
      <c r="B330" s="28" t="s">
        <v>47</v>
      </c>
      <c r="C330" s="41">
        <v>874944</v>
      </c>
      <c r="D330" s="44"/>
      <c r="E330" s="43"/>
      <c r="F330" s="43"/>
      <c r="G330" s="43"/>
      <c r="H330" s="44"/>
      <c r="I330" s="44"/>
      <c r="J330" s="44"/>
      <c r="K330" s="44"/>
      <c r="L330" s="25">
        <f>L329-L326</f>
        <v>234459</v>
      </c>
      <c r="M330" s="25">
        <f>M329-M326</f>
        <v>1749888</v>
      </c>
      <c r="N330" s="25">
        <f>N329-N326</f>
        <v>-309345</v>
      </c>
    </row>
    <row r="331" spans="1:15" ht="13.95" hidden="1" customHeight="1" x14ac:dyDescent="0.25">
      <c r="B331" s="28" t="s">
        <v>48</v>
      </c>
      <c r="C331" s="41">
        <v>152733</v>
      </c>
      <c r="D331" s="44"/>
      <c r="E331" s="43"/>
      <c r="F331" s="43"/>
      <c r="G331" s="43"/>
      <c r="H331" s="44"/>
      <c r="I331" s="44"/>
      <c r="J331" s="44"/>
      <c r="K331" s="44"/>
      <c r="L331" s="47">
        <f>L330/K325</f>
        <v>444.05113636363637</v>
      </c>
      <c r="M331" s="47">
        <f>M330/K325</f>
        <v>3314.181818181818</v>
      </c>
      <c r="N331" s="47">
        <f>N330/K325</f>
        <v>-585.88068181818187</v>
      </c>
    </row>
    <row r="332" spans="1:15" ht="13.95" hidden="1" customHeight="1" x14ac:dyDescent="0.25">
      <c r="B332" s="28" t="s">
        <v>49</v>
      </c>
      <c r="C332" s="41">
        <v>328860</v>
      </c>
      <c r="D332" s="44"/>
      <c r="E332" s="43"/>
      <c r="F332" s="43"/>
      <c r="G332" s="43"/>
      <c r="H332" s="44"/>
      <c r="I332" s="44"/>
      <c r="J332" s="44"/>
      <c r="K332" s="44"/>
      <c r="L332" s="25">
        <f>D325*L331</f>
        <v>115897.34659090909</v>
      </c>
      <c r="M332" s="25">
        <f>M331*D325</f>
        <v>865001.45454545447</v>
      </c>
      <c r="N332" s="25">
        <f>D325*N331</f>
        <v>-152914.85795454547</v>
      </c>
      <c r="O332" s="25">
        <f>L332+M332+N332</f>
        <v>827983.94318181812</v>
      </c>
    </row>
    <row r="333" spans="1:15" ht="13.95" hidden="1" customHeight="1" x14ac:dyDescent="0.25">
      <c r="B333" s="29" t="s">
        <v>50</v>
      </c>
      <c r="C333" s="41">
        <f>SUM(C326:C332)</f>
        <v>6181420</v>
      </c>
      <c r="D333" s="44"/>
      <c r="E333" s="43"/>
      <c r="F333" s="43"/>
      <c r="G333" s="43"/>
      <c r="H333" s="44"/>
      <c r="I333" s="44"/>
      <c r="J333" s="44"/>
      <c r="K333" s="44"/>
      <c r="L333" s="25">
        <f>G325*L331</f>
        <v>888.10227272727275</v>
      </c>
      <c r="M333" s="25">
        <f>G325*M331</f>
        <v>6628.363636363636</v>
      </c>
      <c r="N333" s="25">
        <f>G325*N331</f>
        <v>-1171.7613636363637</v>
      </c>
      <c r="O333" s="25">
        <f>L333+M333+N333</f>
        <v>6344.704545454545</v>
      </c>
    </row>
    <row r="334" spans="1:15" ht="13.95" hidden="1" customHeight="1" x14ac:dyDescent="0.25">
      <c r="L334" s="25">
        <f>H325*L331</f>
        <v>97247.198863636368</v>
      </c>
      <c r="M334" s="25">
        <f>H325*M331</f>
        <v>725805.81818181812</v>
      </c>
      <c r="N334" s="25">
        <f>H325*N331</f>
        <v>-128307.86931818182</v>
      </c>
      <c r="O334" s="25">
        <f>L334+M334+N334</f>
        <v>694745.14772727271</v>
      </c>
    </row>
    <row r="335" spans="1:15" ht="13.95" hidden="1" customHeight="1" x14ac:dyDescent="0.25">
      <c r="L335" s="25">
        <f>I325*L331</f>
        <v>888.10227272727275</v>
      </c>
      <c r="M335" s="25">
        <f>I325*M331</f>
        <v>6628.363636363636</v>
      </c>
      <c r="N335" s="25">
        <f>I325*N331</f>
        <v>-1171.7613636363637</v>
      </c>
      <c r="O335" s="25">
        <f>L335+M335+N335</f>
        <v>6344.704545454545</v>
      </c>
    </row>
    <row r="336" spans="1:15" ht="13.95" hidden="1" customHeight="1" x14ac:dyDescent="0.25">
      <c r="L336" s="25">
        <f>J325*L331</f>
        <v>19538.25</v>
      </c>
      <c r="M336" s="25">
        <f>J325*M331</f>
        <v>145824</v>
      </c>
      <c r="N336" s="25">
        <f>J325*N331</f>
        <v>-25778.750000000004</v>
      </c>
      <c r="O336" s="25">
        <f>L336+M336+N336</f>
        <v>139583.5</v>
      </c>
    </row>
    <row r="337" spans="1:15" ht="13.95" hidden="1" customHeight="1" x14ac:dyDescent="0.25"/>
    <row r="338" spans="1:15" ht="13.95" hidden="1" customHeight="1" x14ac:dyDescent="0.25">
      <c r="D338" s="39">
        <v>242</v>
      </c>
      <c r="E338" s="40"/>
      <c r="F338" s="40"/>
      <c r="G338" s="40">
        <v>1</v>
      </c>
      <c r="H338" s="39">
        <v>224</v>
      </c>
      <c r="I338" s="39">
        <v>3</v>
      </c>
      <c r="J338" s="39">
        <v>69</v>
      </c>
      <c r="K338" s="39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24" t="s">
        <v>43</v>
      </c>
      <c r="C339" s="41">
        <v>98261</v>
      </c>
      <c r="D339" s="42"/>
      <c r="E339" s="43"/>
      <c r="F339" s="43"/>
      <c r="G339" s="43"/>
      <c r="H339" s="44"/>
      <c r="I339" s="44"/>
      <c r="J339" s="44"/>
      <c r="K339" s="44"/>
      <c r="L339" s="25">
        <f>C339+C341+C345</f>
        <v>598302</v>
      </c>
      <c r="M339" s="25">
        <f>C343</f>
        <v>874944</v>
      </c>
      <c r="N339" s="25">
        <f>C340+C342</f>
        <v>1479238</v>
      </c>
      <c r="O339" s="25">
        <f>L339+M339+N339</f>
        <v>2952484</v>
      </c>
    </row>
    <row r="340" spans="1:15" ht="13.95" hidden="1" customHeight="1" x14ac:dyDescent="0.25">
      <c r="B340" s="28" t="s">
        <v>53</v>
      </c>
      <c r="C340" s="41">
        <v>1362189</v>
      </c>
      <c r="D340" s="42"/>
      <c r="E340" s="43"/>
      <c r="F340" s="43"/>
      <c r="G340" s="43"/>
      <c r="H340" s="44"/>
      <c r="I340" s="44"/>
      <c r="J340" s="44"/>
      <c r="K340" s="44"/>
      <c r="L340" s="25">
        <f>L339/K338</f>
        <v>1110.0222634508348</v>
      </c>
      <c r="M340" s="25">
        <f>M339/K338</f>
        <v>1623.2727272727273</v>
      </c>
      <c r="N340" s="25">
        <f>N339/K338</f>
        <v>2744.4118738404454</v>
      </c>
    </row>
    <row r="341" spans="1:15" ht="13.95" hidden="1" customHeight="1" x14ac:dyDescent="0.25">
      <c r="B341" s="28" t="s">
        <v>53</v>
      </c>
      <c r="C341" s="41">
        <v>164828</v>
      </c>
      <c r="D341" s="42"/>
      <c r="E341" s="43"/>
      <c r="F341" s="43"/>
      <c r="G341" s="43"/>
      <c r="H341" s="44"/>
      <c r="I341" s="44"/>
      <c r="J341" s="44"/>
      <c r="K341" s="44"/>
    </row>
    <row r="342" spans="1:15" ht="13.95" hidden="1" customHeight="1" x14ac:dyDescent="0.25">
      <c r="B342" s="28" t="s">
        <v>55</v>
      </c>
      <c r="C342" s="41">
        <v>117049</v>
      </c>
      <c r="D342" s="42"/>
      <c r="E342" s="43"/>
      <c r="F342" s="43"/>
      <c r="G342" s="43"/>
      <c r="H342" s="44"/>
      <c r="I342" s="44"/>
      <c r="J342" s="44"/>
      <c r="K342" s="44"/>
      <c r="L342" s="25">
        <f>C339+C341+575056</f>
        <v>838145</v>
      </c>
      <c r="M342" s="25">
        <f>2624832</f>
        <v>2624832</v>
      </c>
      <c r="N342" s="25">
        <f>C340</f>
        <v>1362189</v>
      </c>
    </row>
    <row r="343" spans="1:15" ht="13.95" hidden="1" customHeight="1" x14ac:dyDescent="0.25">
      <c r="B343" s="28" t="s">
        <v>47</v>
      </c>
      <c r="C343" s="41">
        <v>874944</v>
      </c>
      <c r="D343" s="44"/>
      <c r="E343" s="43"/>
      <c r="F343" s="43"/>
      <c r="G343" s="43"/>
      <c r="H343" s="44"/>
      <c r="I343" s="44"/>
      <c r="J343" s="44"/>
      <c r="K343" s="44"/>
      <c r="L343" s="25">
        <f>L342-L339</f>
        <v>239843</v>
      </c>
      <c r="M343" s="25">
        <f>M342-M339</f>
        <v>1749888</v>
      </c>
      <c r="N343" s="25">
        <f>N342-N339</f>
        <v>-117049</v>
      </c>
    </row>
    <row r="344" spans="1:15" ht="13.95" hidden="1" customHeight="1" x14ac:dyDescent="0.25">
      <c r="B344" s="28" t="s">
        <v>48</v>
      </c>
      <c r="C344" s="41">
        <v>0</v>
      </c>
      <c r="D344" s="44"/>
      <c r="E344" s="43"/>
      <c r="F344" s="43"/>
      <c r="G344" s="43"/>
      <c r="H344" s="44"/>
      <c r="I344" s="44"/>
      <c r="J344" s="44"/>
      <c r="K344" s="44"/>
      <c r="L344" s="25">
        <f>L343/K338</f>
        <v>444.97773654916512</v>
      </c>
      <c r="M344" s="25">
        <f>M343/K338</f>
        <v>3246.5454545454545</v>
      </c>
      <c r="N344" s="25">
        <f>N343/K338</f>
        <v>-217.1595547309833</v>
      </c>
    </row>
    <row r="345" spans="1:15" ht="13.95" hidden="1" customHeight="1" x14ac:dyDescent="0.25">
      <c r="B345" s="28" t="s">
        <v>49</v>
      </c>
      <c r="C345" s="41">
        <v>335213</v>
      </c>
      <c r="D345" s="44"/>
      <c r="E345" s="43"/>
      <c r="F345" s="43"/>
      <c r="G345" s="43"/>
      <c r="H345" s="44"/>
      <c r="I345" s="44"/>
      <c r="J345" s="44"/>
      <c r="K345" s="44"/>
      <c r="L345" s="25">
        <f>D338*L344</f>
        <v>107684.61224489796</v>
      </c>
      <c r="M345" s="25">
        <f>D338*M344</f>
        <v>785664</v>
      </c>
      <c r="N345" s="25">
        <f>D338*N344</f>
        <v>-52552.612244897959</v>
      </c>
      <c r="O345" s="25">
        <f>L345+M345+N345</f>
        <v>840796</v>
      </c>
    </row>
    <row r="346" spans="1:15" ht="13.95" hidden="1" customHeight="1" x14ac:dyDescent="0.25">
      <c r="B346" s="29" t="s">
        <v>50</v>
      </c>
      <c r="C346" s="41">
        <f>SUM(C339:C345)</f>
        <v>2952484</v>
      </c>
      <c r="D346" s="44"/>
      <c r="E346" s="43"/>
      <c r="F346" s="43"/>
      <c r="G346" s="43"/>
      <c r="H346" s="44"/>
      <c r="I346" s="44"/>
      <c r="J346" s="44"/>
      <c r="K346" s="44"/>
      <c r="L346" s="25">
        <f>G338*L344</f>
        <v>444.97773654916512</v>
      </c>
      <c r="M346" s="25">
        <f>G338*M344</f>
        <v>3246.5454545454545</v>
      </c>
      <c r="N346" s="25">
        <f>G338*N344</f>
        <v>-217.1595547309833</v>
      </c>
      <c r="O346" s="25">
        <f>L346+M346+N346</f>
        <v>3474.363636363636</v>
      </c>
    </row>
    <row r="347" spans="1:15" ht="13.95" hidden="1" customHeight="1" x14ac:dyDescent="0.25">
      <c r="L347" s="25">
        <f>H338*L344</f>
        <v>99675.012987012989</v>
      </c>
      <c r="M347" s="25">
        <f>H338*M344</f>
        <v>727226.18181818177</v>
      </c>
      <c r="N347" s="25">
        <f>H338*N344</f>
        <v>-48643.740259740262</v>
      </c>
      <c r="O347" s="25">
        <f>L347+M347+N347</f>
        <v>778257.45454545447</v>
      </c>
    </row>
    <row r="348" spans="1:15" ht="13.95" hidden="1" customHeight="1" x14ac:dyDescent="0.25">
      <c r="L348" s="25">
        <f>I338*L344</f>
        <v>1334.9332096474955</v>
      </c>
      <c r="M348" s="25">
        <f>I338*M344</f>
        <v>9739.636363636364</v>
      </c>
      <c r="N348" s="25">
        <f>I338*N344</f>
        <v>-651.47866419294996</v>
      </c>
      <c r="O348" s="25">
        <f>L348+M348+N348</f>
        <v>10423.09090909091</v>
      </c>
    </row>
    <row r="349" spans="1:15" ht="13.95" hidden="1" customHeight="1" x14ac:dyDescent="0.25">
      <c r="L349" s="25">
        <f>J338*L344</f>
        <v>30703.463821892394</v>
      </c>
      <c r="M349" s="25">
        <f>J338*M344</f>
        <v>224011.63636363635</v>
      </c>
      <c r="N349" s="25">
        <f>J338*N344</f>
        <v>-14984.009276437848</v>
      </c>
      <c r="O349" s="25">
        <f>L349+M349+N349</f>
        <v>239731.09090909091</v>
      </c>
    </row>
    <row r="350" spans="1:15" ht="13.95" hidden="1" customHeight="1" x14ac:dyDescent="0.25"/>
    <row r="351" spans="1:15" ht="13.95" hidden="1" customHeight="1" x14ac:dyDescent="0.25">
      <c r="D351" s="39">
        <v>206</v>
      </c>
      <c r="E351" s="40"/>
      <c r="F351" s="40"/>
      <c r="G351" s="40">
        <v>5</v>
      </c>
      <c r="H351" s="39">
        <v>238</v>
      </c>
      <c r="I351" s="39">
        <v>1</v>
      </c>
      <c r="J351" s="39">
        <v>33</v>
      </c>
      <c r="K351" s="39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24" t="s">
        <v>43</v>
      </c>
      <c r="C352" s="41">
        <v>88052</v>
      </c>
      <c r="D352" s="42"/>
      <c r="E352" s="43"/>
      <c r="F352" s="43"/>
      <c r="G352" s="43"/>
      <c r="H352" s="44"/>
      <c r="I352" s="44"/>
      <c r="J352" s="44"/>
      <c r="K352" s="44"/>
      <c r="L352" s="25">
        <f>C352+C358</f>
        <v>388924</v>
      </c>
      <c r="M352" s="25">
        <f>C356+C357</f>
        <v>1185246</v>
      </c>
      <c r="N352" s="25">
        <f>C353+C355</f>
        <v>2227002</v>
      </c>
      <c r="O352" s="25">
        <f>L352+M352+N352</f>
        <v>3801172</v>
      </c>
    </row>
    <row r="353" spans="1:17" ht="13.95" hidden="1" customHeight="1" x14ac:dyDescent="0.25">
      <c r="B353" s="28" t="s">
        <v>53</v>
      </c>
      <c r="C353" s="41">
        <v>2026333</v>
      </c>
      <c r="D353" s="42"/>
      <c r="E353" s="43"/>
      <c r="F353" s="43"/>
      <c r="G353" s="43"/>
      <c r="H353" s="44"/>
      <c r="I353" s="44"/>
      <c r="J353" s="44"/>
      <c r="K353" s="44"/>
      <c r="L353" s="25">
        <f>L352/K351</f>
        <v>805.22567287784682</v>
      </c>
      <c r="M353" s="25">
        <f>M352/K351</f>
        <v>2453.9254658385094</v>
      </c>
      <c r="N353" s="25">
        <f>N352/K351</f>
        <v>4610.7701863354041</v>
      </c>
    </row>
    <row r="354" spans="1:17" ht="13.95" hidden="1" customHeight="1" x14ac:dyDescent="0.25">
      <c r="B354" s="28" t="s">
        <v>53</v>
      </c>
      <c r="C354" s="41">
        <v>0</v>
      </c>
      <c r="D354" s="42"/>
      <c r="E354" s="43"/>
      <c r="F354" s="43"/>
      <c r="G354" s="43"/>
      <c r="H354" s="44"/>
      <c r="I354" s="44"/>
      <c r="J354" s="44"/>
      <c r="K354" s="44"/>
    </row>
    <row r="355" spans="1:17" ht="13.95" hidden="1" customHeight="1" x14ac:dyDescent="0.25">
      <c r="B355" s="28" t="s">
        <v>55</v>
      </c>
      <c r="C355" s="41">
        <v>200669</v>
      </c>
      <c r="D355" s="42"/>
      <c r="E355" s="43"/>
      <c r="F355" s="43"/>
      <c r="G355" s="43"/>
      <c r="H355" s="44"/>
      <c r="I355" s="44"/>
      <c r="J355" s="44"/>
      <c r="K355" s="44"/>
      <c r="L355" s="25">
        <f>C352+515309</f>
        <v>603361</v>
      </c>
      <c r="M355" s="25">
        <f>C357+2499840</f>
        <v>2851806</v>
      </c>
      <c r="N355" s="25">
        <f>C353</f>
        <v>2026333</v>
      </c>
    </row>
    <row r="356" spans="1:17" ht="13.95" hidden="1" customHeight="1" x14ac:dyDescent="0.25">
      <c r="B356" s="28" t="s">
        <v>47</v>
      </c>
      <c r="C356" s="41">
        <v>833280</v>
      </c>
      <c r="D356" s="44"/>
      <c r="E356" s="43"/>
      <c r="F356" s="43"/>
      <c r="G356" s="43"/>
      <c r="H356" s="44"/>
      <c r="I356" s="44"/>
      <c r="J356" s="44"/>
      <c r="K356" s="44"/>
      <c r="L356" s="25">
        <f>L355-L352</f>
        <v>214437</v>
      </c>
      <c r="M356" s="25">
        <f>M355-M352</f>
        <v>1666560</v>
      </c>
      <c r="N356" s="25">
        <f>N355-N352</f>
        <v>-200669</v>
      </c>
    </row>
    <row r="357" spans="1:17" ht="13.95" hidden="1" customHeight="1" x14ac:dyDescent="0.25">
      <c r="B357" s="28" t="s">
        <v>48</v>
      </c>
      <c r="C357" s="41">
        <v>351966</v>
      </c>
      <c r="D357" s="44"/>
      <c r="E357" s="43"/>
      <c r="F357" s="43"/>
      <c r="G357" s="43"/>
      <c r="H357" s="44"/>
      <c r="I357" s="44"/>
      <c r="J357" s="44"/>
      <c r="K357" s="44"/>
      <c r="L357" s="25">
        <f>L356/K351</f>
        <v>443.96894409937886</v>
      </c>
      <c r="M357" s="25">
        <f>M356/K351</f>
        <v>3450.4347826086955</v>
      </c>
      <c r="N357" s="25">
        <f>N356/K351</f>
        <v>-415.463768115942</v>
      </c>
    </row>
    <row r="358" spans="1:17" ht="13.95" hidden="1" customHeight="1" x14ac:dyDescent="0.25">
      <c r="B358" s="28" t="s">
        <v>49</v>
      </c>
      <c r="C358" s="41">
        <v>300872</v>
      </c>
      <c r="D358" s="44"/>
      <c r="E358" s="43"/>
      <c r="F358" s="43"/>
      <c r="G358" s="43"/>
      <c r="H358" s="44"/>
      <c r="I358" s="44"/>
      <c r="J358" s="44"/>
      <c r="K358" s="44"/>
      <c r="L358" s="25">
        <f>D351*L357</f>
        <v>91457.602484472038</v>
      </c>
      <c r="M358" s="25">
        <f>M357*D351</f>
        <v>710789.56521739124</v>
      </c>
      <c r="N358" s="25">
        <f>D351*N357</f>
        <v>-85585.536231884049</v>
      </c>
      <c r="O358" s="25">
        <f>L358+M358+N358</f>
        <v>716661.63146997918</v>
      </c>
    </row>
    <row r="359" spans="1:17" ht="13.95" hidden="1" customHeight="1" x14ac:dyDescent="0.25">
      <c r="B359" s="29" t="s">
        <v>50</v>
      </c>
      <c r="C359" s="41">
        <f>SUM(C352:C358)</f>
        <v>3801172</v>
      </c>
      <c r="D359" s="44"/>
      <c r="E359" s="43"/>
      <c r="F359" s="43"/>
      <c r="G359" s="43"/>
      <c r="H359" s="44"/>
      <c r="I359" s="44"/>
      <c r="J359" s="44"/>
      <c r="K359" s="44"/>
      <c r="L359" s="25">
        <f>G351*L357</f>
        <v>2219.8447204968943</v>
      </c>
      <c r="M359" s="25">
        <f>G351*M357</f>
        <v>17252.173913043476</v>
      </c>
      <c r="N359" s="25">
        <f>G351*N357</f>
        <v>-2077.31884057971</v>
      </c>
      <c r="O359" s="25">
        <f>L359+M359+N359</f>
        <v>17394.699792960659</v>
      </c>
    </row>
    <row r="360" spans="1:17" ht="13.95" hidden="1" customHeight="1" x14ac:dyDescent="0.25">
      <c r="L360" s="25">
        <f>H351*L357</f>
        <v>105664.60869565216</v>
      </c>
      <c r="M360" s="25">
        <f>H351*M357</f>
        <v>821203.47826086951</v>
      </c>
      <c r="N360" s="25">
        <f>H351*N357</f>
        <v>-98880.376811594193</v>
      </c>
      <c r="O360" s="25">
        <f>L360+M360+N360</f>
        <v>827987.71014492749</v>
      </c>
    </row>
    <row r="361" spans="1:17" ht="13.95" hidden="1" customHeight="1" x14ac:dyDescent="0.25">
      <c r="L361" s="25">
        <f>I351*L357</f>
        <v>443.96894409937886</v>
      </c>
      <c r="M361" s="25">
        <f>I351*M357</f>
        <v>3450.4347826086955</v>
      </c>
      <c r="N361" s="25">
        <f>I351*N357</f>
        <v>-415.463768115942</v>
      </c>
      <c r="O361" s="25">
        <f>L361+M361+N361</f>
        <v>3478.9399585921324</v>
      </c>
    </row>
    <row r="362" spans="1:17" ht="13.95" hidden="1" customHeight="1" x14ac:dyDescent="0.25">
      <c r="L362" s="25">
        <f>J351*L357</f>
        <v>14650.975155279502</v>
      </c>
      <c r="M362" s="25">
        <f>J351*M357</f>
        <v>113864.34782608695</v>
      </c>
      <c r="N362" s="25">
        <f>J351*N357</f>
        <v>-13710.304347826086</v>
      </c>
      <c r="O362" s="25">
        <f>L362+M362+N362</f>
        <v>114805.01863354037</v>
      </c>
    </row>
    <row r="363" spans="1:17" ht="13.95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5" hidden="1" customHeight="1" x14ac:dyDescent="0.25">
      <c r="D364" s="39">
        <v>316</v>
      </c>
      <c r="E364" s="40"/>
      <c r="F364" s="40"/>
      <c r="G364" s="40">
        <v>2</v>
      </c>
      <c r="H364" s="39">
        <v>196</v>
      </c>
      <c r="I364" s="39">
        <v>206</v>
      </c>
      <c r="J364" s="39">
        <v>1</v>
      </c>
      <c r="K364" s="39">
        <v>51</v>
      </c>
      <c r="L364" s="39">
        <v>53</v>
      </c>
      <c r="M364" s="39">
        <f>D364+G364+H364+I364+J364+K364+L364</f>
        <v>825</v>
      </c>
    </row>
    <row r="365" spans="1:17" ht="27.6" hidden="1" customHeight="1" x14ac:dyDescent="0.25">
      <c r="A365" s="1" t="s">
        <v>86</v>
      </c>
      <c r="B365" s="24" t="s">
        <v>43</v>
      </c>
      <c r="C365" s="26">
        <v>150399</v>
      </c>
      <c r="D365" s="42"/>
      <c r="E365" s="43"/>
      <c r="F365" s="43"/>
      <c r="G365" s="43"/>
      <c r="H365" s="44"/>
      <c r="I365" s="44"/>
      <c r="J365" s="44"/>
      <c r="K365" s="39"/>
      <c r="L365" s="39"/>
      <c r="M365" s="39"/>
      <c r="N365" s="25">
        <f>C365+C371</f>
        <v>662764</v>
      </c>
      <c r="O365" s="25">
        <f>C369+C370</f>
        <v>1800175</v>
      </c>
      <c r="P365" s="25">
        <f>C366+C368</f>
        <v>182500</v>
      </c>
      <c r="Q365" s="25">
        <f>N365+O365+P365</f>
        <v>2645439</v>
      </c>
    </row>
    <row r="366" spans="1:17" ht="13.95" hidden="1" customHeight="1" x14ac:dyDescent="0.25">
      <c r="B366" s="28" t="s">
        <v>53</v>
      </c>
      <c r="C366" s="26">
        <v>179700</v>
      </c>
      <c r="D366" s="42"/>
      <c r="E366" s="43"/>
      <c r="F366" s="43"/>
      <c r="G366" s="43"/>
      <c r="H366" s="44"/>
      <c r="I366" s="44"/>
      <c r="J366" s="44"/>
      <c r="K366" s="39"/>
      <c r="L366" s="39"/>
      <c r="M366" s="39"/>
      <c r="N366" s="25">
        <f>N365/M364</f>
        <v>803.35030303030305</v>
      </c>
      <c r="O366" s="25">
        <f>O365/M364</f>
        <v>2182.030303030303</v>
      </c>
      <c r="P366" s="25">
        <f>P365/M364</f>
        <v>221.21212121212122</v>
      </c>
    </row>
    <row r="367" spans="1:17" ht="13.95" hidden="1" customHeight="1" x14ac:dyDescent="0.25">
      <c r="B367" s="28" t="s">
        <v>53</v>
      </c>
      <c r="C367" s="26">
        <v>0</v>
      </c>
      <c r="D367" s="42"/>
      <c r="E367" s="43"/>
      <c r="F367" s="43"/>
      <c r="G367" s="43"/>
      <c r="H367" s="44"/>
      <c r="I367" s="44"/>
      <c r="J367" s="44"/>
      <c r="K367" s="39"/>
      <c r="L367" s="39"/>
      <c r="M367" s="39"/>
    </row>
    <row r="368" spans="1:17" ht="13.95" hidden="1" customHeight="1" x14ac:dyDescent="0.25">
      <c r="B368" s="28" t="s">
        <v>55</v>
      </c>
      <c r="C368" s="26">
        <v>2800</v>
      </c>
      <c r="D368" s="42"/>
      <c r="E368" s="43"/>
      <c r="F368" s="43"/>
      <c r="G368" s="43"/>
      <c r="H368" s="44"/>
      <c r="I368" s="44"/>
      <c r="J368" s="44"/>
      <c r="K368" s="39"/>
      <c r="L368" s="39"/>
      <c r="M368" s="39"/>
      <c r="N368" s="25">
        <f>C365+880187</f>
        <v>1030586</v>
      </c>
      <c r="O368" s="25">
        <f>C370+3874752</f>
        <v>4383343</v>
      </c>
      <c r="P368" s="25">
        <f>C366</f>
        <v>179700</v>
      </c>
    </row>
    <row r="369" spans="1:17" ht="13.95" hidden="1" customHeight="1" x14ac:dyDescent="0.25">
      <c r="B369" s="28" t="s">
        <v>47</v>
      </c>
      <c r="C369" s="26">
        <v>1291584</v>
      </c>
      <c r="D369" s="44"/>
      <c r="E369" s="43"/>
      <c r="F369" s="43"/>
      <c r="G369" s="43"/>
      <c r="H369" s="44"/>
      <c r="I369" s="44"/>
      <c r="J369" s="44"/>
      <c r="K369" s="39"/>
      <c r="L369" s="39"/>
      <c r="M369" s="39"/>
      <c r="N369" s="25">
        <f>N368-N365</f>
        <v>367822</v>
      </c>
      <c r="O369" s="25">
        <f>O368-O365</f>
        <v>2583168</v>
      </c>
      <c r="P369" s="25">
        <f>P368-P365</f>
        <v>-2800</v>
      </c>
    </row>
    <row r="370" spans="1:17" ht="13.95" hidden="1" customHeight="1" x14ac:dyDescent="0.25">
      <c r="B370" s="28" t="s">
        <v>48</v>
      </c>
      <c r="C370" s="26">
        <v>508591</v>
      </c>
      <c r="D370" s="44"/>
      <c r="E370" s="43"/>
      <c r="F370" s="43"/>
      <c r="G370" s="43"/>
      <c r="H370" s="44"/>
      <c r="I370" s="44"/>
      <c r="J370" s="44"/>
      <c r="K370" s="39"/>
      <c r="L370" s="39"/>
      <c r="M370" s="39"/>
      <c r="N370" s="25">
        <f>N369/M364</f>
        <v>445.84484848484851</v>
      </c>
      <c r="O370" s="25">
        <f>O369/M364</f>
        <v>3131.1127272727272</v>
      </c>
      <c r="P370" s="25">
        <f>P369/M364</f>
        <v>-3.393939393939394</v>
      </c>
    </row>
    <row r="371" spans="1:17" ht="13.95" hidden="1" customHeight="1" x14ac:dyDescent="0.25">
      <c r="B371" s="28" t="s">
        <v>49</v>
      </c>
      <c r="C371" s="26">
        <v>512365</v>
      </c>
      <c r="D371" s="44"/>
      <c r="E371" s="43"/>
      <c r="F371" s="43"/>
      <c r="G371" s="43"/>
      <c r="H371" s="44"/>
      <c r="I371" s="44"/>
      <c r="J371" s="44"/>
      <c r="K371" s="39"/>
      <c r="L371" s="39"/>
      <c r="M371" s="39"/>
      <c r="N371" s="25">
        <f>D364*N370</f>
        <v>140886.97212121214</v>
      </c>
      <c r="O371" s="25">
        <f>D364*O370</f>
        <v>989431.62181818183</v>
      </c>
      <c r="P371" s="25">
        <f>D364*P370</f>
        <v>-1072.4848484848485</v>
      </c>
      <c r="Q371" s="25">
        <f>N371+O371+P371</f>
        <v>1129246.1090909091</v>
      </c>
    </row>
    <row r="372" spans="1:17" ht="13.95" hidden="1" customHeight="1" x14ac:dyDescent="0.25">
      <c r="B372" s="29" t="s">
        <v>50</v>
      </c>
      <c r="C372" s="41">
        <f>SUM(C365:C371)</f>
        <v>2645439</v>
      </c>
      <c r="D372" s="44"/>
      <c r="E372" s="43"/>
      <c r="F372" s="43"/>
      <c r="G372" s="43"/>
      <c r="H372" s="44"/>
      <c r="I372" s="44"/>
      <c r="J372" s="44"/>
      <c r="K372" s="39"/>
      <c r="L372" s="39"/>
      <c r="M372" s="39"/>
      <c r="N372" s="25">
        <f>G364*N370</f>
        <v>891.68969696969702</v>
      </c>
      <c r="O372" s="25">
        <f>G364*O370</f>
        <v>6262.2254545454543</v>
      </c>
      <c r="P372" s="25">
        <f>G364*P370</f>
        <v>-6.7878787878787881</v>
      </c>
      <c r="Q372" s="25">
        <f t="shared" ref="Q372:Q377" si="90">N372+O372+P372</f>
        <v>7147.1272727272726</v>
      </c>
    </row>
    <row r="373" spans="1:17" ht="13.95" hidden="1" customHeight="1" x14ac:dyDescent="0.25">
      <c r="N373" s="25">
        <f>H364*N370</f>
        <v>87385.590303030302</v>
      </c>
      <c r="O373" s="25">
        <f>H364*O370</f>
        <v>613698.09454545449</v>
      </c>
      <c r="P373" s="25">
        <f>H364*P370</f>
        <v>-665.21212121212125</v>
      </c>
      <c r="Q373" s="25">
        <f t="shared" si="90"/>
        <v>700418.47272727266</v>
      </c>
    </row>
    <row r="374" spans="1:17" ht="13.95" hidden="1" customHeight="1" x14ac:dyDescent="0.25">
      <c r="N374" s="25">
        <f>I364*N370</f>
        <v>91844.038787878788</v>
      </c>
      <c r="O374" s="25">
        <f>I364*O370</f>
        <v>645009.2218181818</v>
      </c>
      <c r="P374" s="25">
        <f>I364*P370</f>
        <v>-699.15151515151513</v>
      </c>
      <c r="Q374" s="25">
        <f t="shared" si="90"/>
        <v>736154.10909090913</v>
      </c>
    </row>
    <row r="375" spans="1:17" ht="13.95" hidden="1" customHeight="1" x14ac:dyDescent="0.25">
      <c r="N375" s="25">
        <f>J364*N370</f>
        <v>445.84484848484851</v>
      </c>
      <c r="O375" s="25">
        <f>J364*O370</f>
        <v>3131.1127272727272</v>
      </c>
      <c r="P375" s="25">
        <f>J364*P370</f>
        <v>-3.393939393939394</v>
      </c>
      <c r="Q375" s="25">
        <f t="shared" si="90"/>
        <v>3573.5636363636363</v>
      </c>
    </row>
    <row r="376" spans="1:17" ht="13.95" hidden="1" customHeight="1" x14ac:dyDescent="0.25">
      <c r="N376" s="25">
        <f>K364*N370</f>
        <v>22738.087272727273</v>
      </c>
      <c r="O376" s="25">
        <f>K364*O370</f>
        <v>159686.74909090908</v>
      </c>
      <c r="P376" s="25">
        <f>K364*P370</f>
        <v>-173.09090909090909</v>
      </c>
      <c r="Q376" s="25">
        <f t="shared" si="90"/>
        <v>182251.74545454545</v>
      </c>
    </row>
    <row r="377" spans="1:17" ht="13.95" hidden="1" customHeight="1" x14ac:dyDescent="0.25">
      <c r="N377" s="25">
        <f>L364*N370</f>
        <v>23629.77696969697</v>
      </c>
      <c r="O377" s="25">
        <f>L364*O370</f>
        <v>165948.97454545455</v>
      </c>
      <c r="P377" s="25">
        <f>L364*P370</f>
        <v>-179.87878787878788</v>
      </c>
      <c r="Q377" s="25">
        <f t="shared" si="90"/>
        <v>189398.87272727274</v>
      </c>
    </row>
    <row r="378" spans="1:17" ht="13.95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5" hidden="1" customHeight="1" x14ac:dyDescent="0.25">
      <c r="D379" s="39">
        <v>67</v>
      </c>
      <c r="E379" s="40"/>
      <c r="F379" s="40"/>
      <c r="G379" s="40">
        <v>17</v>
      </c>
      <c r="H379" s="39">
        <v>1</v>
      </c>
      <c r="I379" s="39">
        <v>72</v>
      </c>
      <c r="J379" s="39">
        <v>44</v>
      </c>
      <c r="K379" s="39">
        <v>17</v>
      </c>
      <c r="L379" s="39">
        <f>D379+G379+H379+I379+J379+K379</f>
        <v>218</v>
      </c>
    </row>
    <row r="380" spans="1:17" ht="27.6" hidden="1" customHeight="1" x14ac:dyDescent="0.25">
      <c r="A380" s="1" t="s">
        <v>87</v>
      </c>
      <c r="B380" s="24" t="s">
        <v>43</v>
      </c>
      <c r="C380" s="41">
        <v>39742</v>
      </c>
      <c r="D380" s="42"/>
      <c r="E380" s="43"/>
      <c r="F380" s="43"/>
      <c r="G380" s="43"/>
      <c r="H380" s="44"/>
      <c r="I380" s="44"/>
      <c r="J380" s="44"/>
      <c r="K380" s="44"/>
      <c r="L380" s="44"/>
      <c r="M380" s="25">
        <f>C380+C382+C386</f>
        <v>195953</v>
      </c>
      <c r="N380" s="25">
        <f>C384+C385</f>
        <v>542463</v>
      </c>
      <c r="O380" s="25">
        <f>C381+C383</f>
        <v>2064267</v>
      </c>
      <c r="P380" s="25">
        <f>M380+N380+O380</f>
        <v>2802683</v>
      </c>
    </row>
    <row r="381" spans="1:17" ht="13.95" hidden="1" customHeight="1" x14ac:dyDescent="0.25">
      <c r="B381" s="28" t="s">
        <v>53</v>
      </c>
      <c r="C381" s="41">
        <v>1880332</v>
      </c>
      <c r="D381" s="42"/>
      <c r="E381" s="43"/>
      <c r="F381" s="43"/>
      <c r="G381" s="43"/>
      <c r="H381" s="44"/>
      <c r="I381" s="44"/>
      <c r="J381" s="44"/>
      <c r="K381" s="44"/>
      <c r="L381" s="39"/>
      <c r="M381" s="25">
        <f>M380/L379</f>
        <v>898.86697247706422</v>
      </c>
      <c r="N381" s="25">
        <f>N380/L379</f>
        <v>2488.3623853211011</v>
      </c>
      <c r="O381" s="25">
        <f>O380/L379</f>
        <v>9469.1146788990827</v>
      </c>
    </row>
    <row r="382" spans="1:17" ht="13.95" hidden="1" customHeight="1" x14ac:dyDescent="0.25">
      <c r="B382" s="28" t="s">
        <v>53</v>
      </c>
      <c r="C382" s="41">
        <v>21109</v>
      </c>
      <c r="D382" s="42"/>
      <c r="E382" s="43"/>
      <c r="F382" s="43"/>
      <c r="G382" s="43"/>
      <c r="H382" s="44"/>
      <c r="I382" s="44"/>
      <c r="J382" s="44"/>
      <c r="K382" s="44"/>
      <c r="L382" s="39"/>
    </row>
    <row r="383" spans="1:17" ht="13.95" hidden="1" customHeight="1" x14ac:dyDescent="0.25">
      <c r="B383" s="28" t="s">
        <v>55</v>
      </c>
      <c r="C383" s="41">
        <v>183935</v>
      </c>
      <c r="D383" s="42"/>
      <c r="E383" s="43"/>
      <c r="F383" s="43"/>
      <c r="G383" s="43"/>
      <c r="H383" s="44"/>
      <c r="I383" s="44"/>
      <c r="J383" s="44"/>
      <c r="K383" s="44"/>
      <c r="L383" s="39"/>
      <c r="M383" s="25">
        <f>C380+232583</f>
        <v>272325</v>
      </c>
      <c r="N383" s="25">
        <f>C385+1499904</f>
        <v>1542399</v>
      </c>
      <c r="O383" s="25">
        <f>C381</f>
        <v>1880332</v>
      </c>
    </row>
    <row r="384" spans="1:17" ht="13.95" hidden="1" customHeight="1" x14ac:dyDescent="0.25">
      <c r="B384" s="28" t="s">
        <v>47</v>
      </c>
      <c r="C384" s="41">
        <v>499968</v>
      </c>
      <c r="D384" s="44"/>
      <c r="E384" s="43"/>
      <c r="F384" s="43"/>
      <c r="G384" s="43"/>
      <c r="H384" s="44"/>
      <c r="I384" s="44"/>
      <c r="J384" s="44"/>
      <c r="K384" s="44"/>
      <c r="L384" s="39"/>
      <c r="M384" s="25">
        <f>M383-M380</f>
        <v>76372</v>
      </c>
      <c r="N384" s="25">
        <f>N383-N380</f>
        <v>999936</v>
      </c>
      <c r="O384" s="25">
        <f>O383-O380</f>
        <v>-183935</v>
      </c>
    </row>
    <row r="385" spans="2:16" ht="13.95" hidden="1" customHeight="1" x14ac:dyDescent="0.25">
      <c r="B385" s="28" t="s">
        <v>48</v>
      </c>
      <c r="C385" s="41">
        <v>42495</v>
      </c>
      <c r="D385" s="44"/>
      <c r="E385" s="43"/>
      <c r="F385" s="43"/>
      <c r="G385" s="43"/>
      <c r="H385" s="44"/>
      <c r="I385" s="44"/>
      <c r="J385" s="44"/>
      <c r="K385" s="44"/>
      <c r="L385" s="39"/>
      <c r="M385" s="25">
        <f>M384/L379</f>
        <v>350.33027522935782</v>
      </c>
      <c r="N385" s="25">
        <f>N384/L379</f>
        <v>4586.8623853211011</v>
      </c>
      <c r="O385" s="25">
        <f>O384/L379</f>
        <v>-843.7385321100918</v>
      </c>
    </row>
    <row r="386" spans="2:16" ht="13.95" hidden="1" customHeight="1" x14ac:dyDescent="0.25">
      <c r="B386" s="28" t="s">
        <v>49</v>
      </c>
      <c r="C386" s="41">
        <v>135102</v>
      </c>
      <c r="D386" s="44"/>
      <c r="E386" s="43"/>
      <c r="F386" s="43"/>
      <c r="G386" s="43"/>
      <c r="H386" s="44"/>
      <c r="I386" s="44"/>
      <c r="J386" s="44"/>
      <c r="K386" s="44"/>
      <c r="L386" s="39"/>
      <c r="M386" s="25">
        <f>D379*M385</f>
        <v>23472.128440366974</v>
      </c>
      <c r="N386" s="25">
        <f>D379*N385</f>
        <v>307319.77981651376</v>
      </c>
      <c r="O386" s="25">
        <f>D379*O385</f>
        <v>-56530.481651376147</v>
      </c>
      <c r="P386" s="25">
        <f t="shared" ref="P386:P391" si="91">M386+N386+O386</f>
        <v>274261.42660550459</v>
      </c>
    </row>
    <row r="387" spans="2:16" ht="13.95" hidden="1" customHeight="1" x14ac:dyDescent="0.25">
      <c r="B387" s="29" t="s">
        <v>50</v>
      </c>
      <c r="C387" s="41">
        <f>SUM(C380:C386)</f>
        <v>2802683</v>
      </c>
      <c r="D387" s="44"/>
      <c r="E387" s="43"/>
      <c r="F387" s="43"/>
      <c r="G387" s="43"/>
      <c r="H387" s="44"/>
      <c r="I387" s="44"/>
      <c r="J387" s="44"/>
      <c r="K387" s="44"/>
      <c r="L387" s="39"/>
      <c r="M387" s="25">
        <f>G379*M385</f>
        <v>5955.6146788990827</v>
      </c>
      <c r="N387" s="25">
        <f>G379*N385</f>
        <v>77976.660550458721</v>
      </c>
      <c r="O387" s="25">
        <f>G379*O385</f>
        <v>-14343.555045871561</v>
      </c>
      <c r="P387" s="25">
        <f t="shared" si="91"/>
        <v>69588.72018348625</v>
      </c>
    </row>
    <row r="388" spans="2:16" ht="13.95" hidden="1" customHeight="1" x14ac:dyDescent="0.25">
      <c r="M388" s="25">
        <f>H379*M385</f>
        <v>350.33027522935782</v>
      </c>
      <c r="N388" s="25">
        <f>H379*N385</f>
        <v>4586.8623853211011</v>
      </c>
      <c r="O388" s="25">
        <f>H379*O385</f>
        <v>-843.7385321100918</v>
      </c>
      <c r="P388" s="25">
        <f t="shared" si="91"/>
        <v>4093.4541284403667</v>
      </c>
    </row>
    <row r="389" spans="2:16" ht="13.95" hidden="1" customHeight="1" x14ac:dyDescent="0.25">
      <c r="M389" s="25">
        <f>I379*M385</f>
        <v>25223.779816513765</v>
      </c>
      <c r="N389" s="25">
        <f>I379*N385</f>
        <v>330254.09174311929</v>
      </c>
      <c r="O389" s="25">
        <f>I379*O385</f>
        <v>-60749.17431192661</v>
      </c>
      <c r="P389" s="25">
        <f t="shared" si="91"/>
        <v>294728.69724770647</v>
      </c>
    </row>
    <row r="390" spans="2:16" ht="13.95" hidden="1" customHeight="1" x14ac:dyDescent="0.25">
      <c r="M390" s="25">
        <f>J379*M385</f>
        <v>15414.532110091744</v>
      </c>
      <c r="N390" s="25">
        <f>J379*N385</f>
        <v>201821.94495412844</v>
      </c>
      <c r="O390" s="25">
        <f>J379*O385</f>
        <v>-37124.495412844037</v>
      </c>
      <c r="P390" s="25">
        <f t="shared" si="91"/>
        <v>180111.98165137615</v>
      </c>
    </row>
    <row r="391" spans="2:16" ht="13.95" hidden="1" customHeight="1" x14ac:dyDescent="0.25">
      <c r="M391" s="25">
        <f>K379*M385</f>
        <v>5955.6146788990827</v>
      </c>
      <c r="N391" s="25">
        <f>K379*N385</f>
        <v>77976.660550458721</v>
      </c>
      <c r="O391" s="25">
        <f>K379*O385</f>
        <v>-14343.555045871561</v>
      </c>
      <c r="P391" s="25">
        <f t="shared" si="91"/>
        <v>69588.72018348625</v>
      </c>
    </row>
    <row r="392" spans="2:16" ht="13.95" hidden="1" customHeight="1" x14ac:dyDescent="0.25"/>
    <row r="393" spans="2:16" ht="13.95" hidden="1" customHeight="1" x14ac:dyDescent="0.25"/>
    <row r="394" spans="2:16" ht="13.95" hidden="1" customHeight="1" x14ac:dyDescent="0.25"/>
    <row r="395" spans="2:16" ht="13.95" hidden="1" customHeight="1" x14ac:dyDescent="0.25"/>
  </sheetData>
  <mergeCells count="44">
    <mergeCell ref="C80:C81"/>
    <mergeCell ref="B80:B81"/>
    <mergeCell ref="B120:B121"/>
    <mergeCell ref="C120:C121"/>
    <mergeCell ref="C161:C162"/>
    <mergeCell ref="B161:B162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A49:A90"/>
    <mergeCell ref="B49:B61"/>
    <mergeCell ref="B62:B71"/>
    <mergeCell ref="B74:B77"/>
    <mergeCell ref="B38:B39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</mergeCells>
  <pageMargins left="0" right="0" top="0.19685039370078741" bottom="0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zoomScale="80" zoomScaleNormal="80" workbookViewId="0">
      <selection activeCell="AM13" sqref="AM13"/>
    </sheetView>
  </sheetViews>
  <sheetFormatPr defaultColWidth="8.88671875" defaultRowHeight="13.8" x14ac:dyDescent="0.25"/>
  <cols>
    <col min="1" max="1" width="25" style="48" customWidth="1"/>
    <col min="2" max="2" width="15.109375" style="48" customWidth="1"/>
    <col min="3" max="3" width="15.33203125" style="48" customWidth="1"/>
    <col min="4" max="4" width="15.5546875" style="48" customWidth="1"/>
    <col min="5" max="5" width="15.6640625" style="48" customWidth="1"/>
    <col min="6" max="6" width="11.6640625" style="48" hidden="1" customWidth="1"/>
    <col min="7" max="7" width="16.33203125" style="48" customWidth="1"/>
    <col min="8" max="10" width="14.88671875" style="48" customWidth="1"/>
    <col min="11" max="12" width="15.6640625" style="48" customWidth="1"/>
    <col min="13" max="13" width="16.33203125" style="48" customWidth="1"/>
    <col min="14" max="14" width="8.6640625" style="48" hidden="1" customWidth="1"/>
    <col min="15" max="15" width="8" style="49" customWidth="1"/>
    <col min="16" max="16" width="8.6640625" style="49" customWidth="1"/>
    <col min="17" max="17" width="9.6640625" style="49" customWidth="1"/>
    <col min="18" max="19" width="8.33203125" style="49" customWidth="1"/>
    <col min="20" max="20" width="15.88671875" style="48" customWidth="1"/>
    <col min="21" max="21" width="14.109375" style="48" customWidth="1"/>
    <col min="22" max="22" width="15.88671875" style="48" customWidth="1"/>
    <col min="23" max="23" width="14.77734375" style="48" customWidth="1"/>
    <col min="24" max="24" width="15.109375" style="48" customWidth="1"/>
    <col min="25" max="25" width="16.109375" style="48" customWidth="1"/>
    <col min="26" max="26" width="16" style="48" customWidth="1"/>
    <col min="27" max="27" width="14.88671875" style="48" customWidth="1"/>
    <col min="28" max="28" width="14.6640625" style="48" customWidth="1"/>
    <col min="29" max="29" width="15.33203125" style="48" customWidth="1"/>
    <col min="30" max="30" width="17" style="48" customWidth="1"/>
    <col min="31" max="31" width="16.33203125" style="48" customWidth="1"/>
    <col min="32" max="32" width="15.6640625" style="48" hidden="1" customWidth="1"/>
    <col min="33" max="33" width="15.5546875" style="48" hidden="1" customWidth="1"/>
    <col min="34" max="34" width="15.5546875" style="48" customWidth="1"/>
    <col min="35" max="35" width="19.33203125" style="48" hidden="1" customWidth="1"/>
    <col min="36" max="36" width="16.88671875" style="48" hidden="1" customWidth="1"/>
    <col min="37" max="37" width="12.33203125" style="48" hidden="1" customWidth="1"/>
    <col min="38" max="38" width="15.44140625" style="48" hidden="1" customWidth="1"/>
    <col min="39" max="39" width="11.33203125" style="48" customWidth="1"/>
    <col min="40" max="40" width="3.6640625" style="48" customWidth="1"/>
    <col min="41" max="41" width="15.6640625" style="48" hidden="1" customWidth="1"/>
    <col min="42" max="16384" width="8.88671875" style="48"/>
  </cols>
  <sheetData>
    <row r="2" spans="1:41" ht="13.95" customHeight="1" x14ac:dyDescent="0.25">
      <c r="X2" s="858" t="s">
        <v>88</v>
      </c>
      <c r="Y2" s="858"/>
      <c r="Z2" s="348"/>
      <c r="AA2" s="348"/>
      <c r="AB2" s="348"/>
      <c r="AC2" s="348"/>
      <c r="AD2" s="345"/>
      <c r="AE2" s="345"/>
      <c r="AF2" s="345"/>
    </row>
    <row r="3" spans="1:41" ht="14.4" customHeight="1" x14ac:dyDescent="0.25">
      <c r="X3" s="859" t="s">
        <v>640</v>
      </c>
      <c r="Y3" s="859"/>
      <c r="Z3" s="349"/>
      <c r="AA3" s="349"/>
      <c r="AB3" s="349"/>
      <c r="AC3" s="349"/>
      <c r="AD3" s="346"/>
      <c r="AE3" s="346"/>
    </row>
    <row r="4" spans="1:41" x14ac:dyDescent="0.25">
      <c r="AH4" s="50"/>
    </row>
    <row r="5" spans="1:41" ht="18" customHeight="1" x14ac:dyDescent="0.35">
      <c r="A5" s="843" t="s">
        <v>572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355"/>
      <c r="N5" s="355"/>
      <c r="O5" s="355"/>
      <c r="P5" s="355"/>
      <c r="Q5" s="355"/>
      <c r="R5" s="355"/>
      <c r="S5" s="367"/>
      <c r="T5" s="51"/>
      <c r="U5" s="51"/>
      <c r="V5" s="51"/>
      <c r="W5" s="51"/>
      <c r="X5" s="75"/>
    </row>
    <row r="6" spans="1:41" ht="15.6" x14ac:dyDescent="0.3">
      <c r="A6" s="82" t="s">
        <v>89</v>
      </c>
      <c r="B6" s="52"/>
      <c r="T6" s="53"/>
      <c r="U6" s="53"/>
      <c r="V6" s="54"/>
      <c r="W6" s="54"/>
      <c r="X6" s="53"/>
      <c r="Y6" s="53"/>
    </row>
    <row r="7" spans="1:41" ht="83.4" customHeight="1" x14ac:dyDescent="0.25">
      <c r="A7" s="844" t="s">
        <v>2</v>
      </c>
      <c r="B7" s="851" t="s">
        <v>573</v>
      </c>
      <c r="C7" s="852"/>
      <c r="D7" s="852"/>
      <c r="E7" s="852"/>
      <c r="F7" s="356"/>
      <c r="G7" s="846" t="s">
        <v>90</v>
      </c>
      <c r="H7" s="853" t="s">
        <v>91</v>
      </c>
      <c r="I7" s="854"/>
      <c r="J7" s="854"/>
      <c r="K7" s="854"/>
      <c r="L7" s="855"/>
      <c r="M7" s="347"/>
      <c r="N7" s="55"/>
      <c r="O7" s="848" t="s">
        <v>576</v>
      </c>
      <c r="P7" s="849"/>
      <c r="Q7" s="849"/>
      <c r="R7" s="850"/>
      <c r="S7" s="368"/>
      <c r="T7" s="860" t="s">
        <v>342</v>
      </c>
      <c r="U7" s="861"/>
      <c r="V7" s="861"/>
      <c r="W7" s="861"/>
      <c r="X7" s="861"/>
      <c r="Y7" s="862"/>
      <c r="Z7" s="853" t="s">
        <v>291</v>
      </c>
      <c r="AA7" s="854"/>
      <c r="AB7" s="854"/>
      <c r="AC7" s="855"/>
      <c r="AD7" s="56" t="s">
        <v>342</v>
      </c>
      <c r="AE7" s="56" t="s">
        <v>444</v>
      </c>
      <c r="AF7" s="350" t="s">
        <v>92</v>
      </c>
      <c r="AG7" s="351"/>
      <c r="AH7" s="56" t="s">
        <v>574</v>
      </c>
      <c r="AI7" s="352" t="s">
        <v>2</v>
      </c>
      <c r="AJ7" s="856" t="s">
        <v>591</v>
      </c>
      <c r="AK7" s="857"/>
      <c r="AL7" s="857"/>
    </row>
    <row r="8" spans="1:41" ht="153" customHeight="1" x14ac:dyDescent="0.25">
      <c r="A8" s="845"/>
      <c r="B8" s="57" t="s">
        <v>93</v>
      </c>
      <c r="C8" s="57" t="s">
        <v>94</v>
      </c>
      <c r="D8" s="57" t="s">
        <v>95</v>
      </c>
      <c r="E8" s="58" t="s">
        <v>96</v>
      </c>
      <c r="F8" s="58" t="s">
        <v>97</v>
      </c>
      <c r="G8" s="847"/>
      <c r="H8" s="56" t="s">
        <v>98</v>
      </c>
      <c r="I8" s="56" t="s">
        <v>99</v>
      </c>
      <c r="J8" s="56" t="s">
        <v>100</v>
      </c>
      <c r="K8" s="56" t="s">
        <v>16</v>
      </c>
      <c r="L8" s="59" t="s">
        <v>97</v>
      </c>
      <c r="M8" s="60" t="s">
        <v>9</v>
      </c>
      <c r="N8" s="61" t="s">
        <v>101</v>
      </c>
      <c r="O8" s="56" t="s">
        <v>102</v>
      </c>
      <c r="P8" s="59" t="s">
        <v>103</v>
      </c>
      <c r="Q8" s="56" t="s">
        <v>100</v>
      </c>
      <c r="R8" s="56" t="s">
        <v>16</v>
      </c>
      <c r="S8" s="63" t="s">
        <v>293</v>
      </c>
      <c r="T8" s="62" t="s">
        <v>104</v>
      </c>
      <c r="U8" s="59" t="s">
        <v>105</v>
      </c>
      <c r="V8" s="62" t="s">
        <v>100</v>
      </c>
      <c r="W8" s="62" t="s">
        <v>106</v>
      </c>
      <c r="X8" s="791" t="s">
        <v>16</v>
      </c>
      <c r="Y8" s="357" t="s">
        <v>107</v>
      </c>
      <c r="Z8" s="358" t="s">
        <v>93</v>
      </c>
      <c r="AA8" s="358" t="s">
        <v>94</v>
      </c>
      <c r="AB8" s="358" t="s">
        <v>95</v>
      </c>
      <c r="AC8" s="359" t="s">
        <v>96</v>
      </c>
      <c r="AD8" s="63" t="s">
        <v>107</v>
      </c>
      <c r="AE8" s="63" t="s">
        <v>107</v>
      </c>
      <c r="AF8" s="56" t="s">
        <v>100</v>
      </c>
      <c r="AG8" s="56" t="s">
        <v>16</v>
      </c>
      <c r="AH8" s="63" t="s">
        <v>107</v>
      </c>
      <c r="AI8" s="353"/>
      <c r="AJ8" s="669"/>
      <c r="AL8" s="448"/>
      <c r="AM8" s="308"/>
      <c r="AO8" s="634" t="s">
        <v>461</v>
      </c>
    </row>
    <row r="9" spans="1:41" ht="22.95" customHeight="1" x14ac:dyDescent="0.25">
      <c r="A9" s="64" t="s">
        <v>18</v>
      </c>
      <c r="B9" s="841" t="s">
        <v>18</v>
      </c>
      <c r="C9" s="842"/>
      <c r="D9" s="842"/>
      <c r="E9" s="842"/>
      <c r="F9" s="354"/>
      <c r="G9" s="56" t="s">
        <v>21</v>
      </c>
      <c r="H9" s="56" t="s">
        <v>21</v>
      </c>
      <c r="I9" s="56" t="s">
        <v>21</v>
      </c>
      <c r="J9" s="56" t="s">
        <v>21</v>
      </c>
      <c r="K9" s="56" t="s">
        <v>21</v>
      </c>
      <c r="L9" s="62" t="s">
        <v>21</v>
      </c>
      <c r="M9" s="56" t="s">
        <v>21</v>
      </c>
      <c r="N9" s="56" t="s">
        <v>21</v>
      </c>
      <c r="O9" s="347"/>
      <c r="P9" s="347"/>
      <c r="Q9" s="347"/>
      <c r="R9" s="347"/>
      <c r="S9" s="366"/>
      <c r="T9" s="62" t="s">
        <v>21</v>
      </c>
      <c r="U9" s="62" t="s">
        <v>21</v>
      </c>
      <c r="V9" s="62" t="s">
        <v>21</v>
      </c>
      <c r="W9" s="62" t="s">
        <v>21</v>
      </c>
      <c r="X9" s="791" t="s">
        <v>21</v>
      </c>
      <c r="Y9" s="62" t="s">
        <v>21</v>
      </c>
      <c r="Z9" s="360" t="s">
        <v>21</v>
      </c>
      <c r="AA9" s="360" t="s">
        <v>21</v>
      </c>
      <c r="AB9" s="360" t="s">
        <v>21</v>
      </c>
      <c r="AC9" s="360" t="s">
        <v>21</v>
      </c>
      <c r="AD9" s="56" t="s">
        <v>21</v>
      </c>
      <c r="AE9" s="56" t="s">
        <v>21</v>
      </c>
      <c r="AF9" s="56" t="s">
        <v>21</v>
      </c>
      <c r="AG9" s="56" t="s">
        <v>21</v>
      </c>
      <c r="AH9" s="56" t="s">
        <v>21</v>
      </c>
      <c r="AI9" s="64" t="s">
        <v>18</v>
      </c>
      <c r="AJ9" s="670"/>
      <c r="AM9" s="447"/>
      <c r="AO9" s="635"/>
    </row>
    <row r="10" spans="1:41" ht="42" customHeight="1" x14ac:dyDescent="0.25">
      <c r="A10" s="65" t="s">
        <v>108</v>
      </c>
      <c r="B10" s="66">
        <f>'прилож.3-школы'!$N$21+'прилож.3-школы'!$N$42+'прилож.3-школы'!P41</f>
        <v>41492006.719999991</v>
      </c>
      <c r="C10" s="66">
        <f>'прилож.3-школы'!$N$30</f>
        <v>44081209.299999997</v>
      </c>
      <c r="D10" s="66">
        <f>'прилож.3-школы'!$N$37</f>
        <v>9067342.709999999</v>
      </c>
      <c r="E10" s="67">
        <f>'прилож.3-школы'!$N$40</f>
        <v>7529741.4400000004</v>
      </c>
      <c r="F10" s="68">
        <v>0</v>
      </c>
      <c r="G10" s="71">
        <f t="shared" ref="G10:G16" si="0">SUM(B10:F10)</f>
        <v>102170300.16999997</v>
      </c>
      <c r="H10" s="69">
        <f>'прилож.3-школы'!$O$48-'прилож.4-школы'!I10-'прилож.4-школы'!L10</f>
        <v>51742601.629999988</v>
      </c>
      <c r="I10" s="69">
        <f t="shared" ref="I10:I15" si="1">E10</f>
        <v>7529741.4400000004</v>
      </c>
      <c r="J10" s="69">
        <f>'прилож.3-школы'!$P$48</f>
        <v>14759037.050000001</v>
      </c>
      <c r="K10" s="67">
        <f>'прилож.3-школы'!$R$48</f>
        <v>20873760.050000001</v>
      </c>
      <c r="L10" s="67">
        <f>'прилож.3-школы'!$O$45</f>
        <v>7265160</v>
      </c>
      <c r="M10" s="71">
        <f>SUM(H10:L10)</f>
        <v>102170300.16999999</v>
      </c>
      <c r="N10" s="70"/>
      <c r="O10" s="67">
        <f t="shared" ref="O10:O16" si="2">T10/H10</f>
        <v>1.0563170826012447</v>
      </c>
      <c r="P10" s="67">
        <f>U10/E10</f>
        <v>0.98713548921010486</v>
      </c>
      <c r="Q10" s="67">
        <f t="shared" ref="Q10:Q16" si="3">V10/J10</f>
        <v>1.1093896535749939</v>
      </c>
      <c r="R10" s="68">
        <f>X10/K10</f>
        <v>1.0028752821655627</v>
      </c>
      <c r="S10" s="68">
        <f>(Y10-U10)/(G10-E10)</f>
        <v>1.0460070854233008</v>
      </c>
      <c r="T10" s="69">
        <f>48905789+537930+5212875</f>
        <v>54656594</v>
      </c>
      <c r="U10" s="67">
        <f>6878358+554517</f>
        <v>7432875</v>
      </c>
      <c r="V10" s="67">
        <v>16373523</v>
      </c>
      <c r="W10" s="67">
        <f>L10-234360</f>
        <v>7030800</v>
      </c>
      <c r="X10" s="810">
        <f>17045758+3888020</f>
        <v>20933778</v>
      </c>
      <c r="Y10" s="71">
        <f>SUM(T10:X10)</f>
        <v>106427570</v>
      </c>
      <c r="Z10" s="361">
        <f>B10*S10</f>
        <v>43400933.017551199</v>
      </c>
      <c r="AA10" s="361">
        <f>C10*S10</f>
        <v>46109257.261827499</v>
      </c>
      <c r="AB10" s="361">
        <f>D10*S10</f>
        <v>9484504.720621312</v>
      </c>
      <c r="AC10" s="361">
        <f>U10</f>
        <v>7432875</v>
      </c>
      <c r="AD10" s="67">
        <f>SUM(Z10:AC10)</f>
        <v>106427570.00000001</v>
      </c>
      <c r="AE10" s="67">
        <f>87899873+8766565.34</f>
        <v>96666438.340000004</v>
      </c>
      <c r="AF10" s="67">
        <f t="shared" ref="AF10:AG10" si="4">62181472+Y10</f>
        <v>168609042</v>
      </c>
      <c r="AG10" s="67">
        <f t="shared" si="4"/>
        <v>105582405.0175512</v>
      </c>
      <c r="AH10" s="67">
        <f>87899873+8538815.33</f>
        <v>96438688.329999998</v>
      </c>
      <c r="AI10" s="65" t="s">
        <v>108</v>
      </c>
      <c r="AJ10" s="792">
        <f>K10-X10</f>
        <v>-60017.949999999255</v>
      </c>
      <c r="AK10" s="72"/>
      <c r="AL10" s="72"/>
      <c r="AM10" s="72"/>
      <c r="AO10" s="636">
        <f>Y10-W10</f>
        <v>99396770</v>
      </c>
    </row>
    <row r="11" spans="1:41" ht="36.6" customHeight="1" x14ac:dyDescent="0.25">
      <c r="A11" s="73" t="s">
        <v>51</v>
      </c>
      <c r="B11" s="66">
        <f>'прилож.3-школы'!$N$61+'прилож.3-школы'!$N$83</f>
        <v>34983418.409999996</v>
      </c>
      <c r="C11" s="67">
        <f>'прилож.3-школы'!$N$73</f>
        <v>36181224.390000001</v>
      </c>
      <c r="D11" s="67">
        <f>'прилож.3-школы'!$N$79</f>
        <v>4873016.8999999994</v>
      </c>
      <c r="E11" s="67">
        <f>'прилож.3-школы'!$N$82</f>
        <v>7555370.2400000002</v>
      </c>
      <c r="F11" s="68">
        <v>0</v>
      </c>
      <c r="G11" s="71">
        <f t="shared" si="0"/>
        <v>83593029.939999998</v>
      </c>
      <c r="H11" s="69">
        <f>'прилож.3-школы'!$O$90-'прилож.4-школы'!I11-'прилож.4-школы'!L11</f>
        <v>40792233.460000001</v>
      </c>
      <c r="I11" s="69">
        <f t="shared" si="1"/>
        <v>7555370.2400000002</v>
      </c>
      <c r="J11" s="69">
        <f>'прилож.3-школы'!$P$90</f>
        <v>13884335.069999998</v>
      </c>
      <c r="K11" s="67">
        <f>'прилож.3-школы'!$R$90</f>
        <v>15502051.17</v>
      </c>
      <c r="L11" s="67">
        <f>'прилож.3-школы'!$O$87</f>
        <v>5859040</v>
      </c>
      <c r="M11" s="71">
        <f t="shared" ref="M11:M16" si="5">SUM(H11:L11)</f>
        <v>83593029.939999998</v>
      </c>
      <c r="N11" s="70"/>
      <c r="O11" s="67">
        <f t="shared" si="2"/>
        <v>1.1170101054819761</v>
      </c>
      <c r="P11" s="67">
        <f t="shared" ref="P11:P16" si="6">U11/I11</f>
        <v>1.0557833364364682</v>
      </c>
      <c r="Q11" s="67">
        <f t="shared" si="3"/>
        <v>0.86714689175244752</v>
      </c>
      <c r="R11" s="68">
        <f t="shared" ref="R11:R16" si="7">X11/K11</f>
        <v>1.0984958831096414</v>
      </c>
      <c r="S11" s="68">
        <f t="shared" ref="S11:S16" si="8">(Y11-U11)/(G11-E11)</f>
        <v>1.0524300025241309</v>
      </c>
      <c r="T11" s="69">
        <f>40285890+537930+4741517</f>
        <v>45565337</v>
      </c>
      <c r="U11" s="67">
        <f>7790901+185933</f>
        <v>7976834</v>
      </c>
      <c r="V11" s="69">
        <v>12039758</v>
      </c>
      <c r="W11" s="67">
        <f>L11-468760</f>
        <v>5390280</v>
      </c>
      <c r="X11" s="810">
        <f>11895411.4+5133527.99</f>
        <v>17028939.390000001</v>
      </c>
      <c r="Y11" s="74">
        <f t="shared" ref="Y11:Y16" si="9">SUM(T11:X11)</f>
        <v>88001148.390000001</v>
      </c>
      <c r="Z11" s="361">
        <f t="shared" ref="Z11:Z15" si="10">B11*S11</f>
        <v>36817599.12553902</v>
      </c>
      <c r="AA11" s="361">
        <f t="shared" ref="AA11:AA15" si="11">C11*S11</f>
        <v>38078206.076093845</v>
      </c>
      <c r="AB11" s="361">
        <f t="shared" ref="AB11:AB15" si="12">D11*S11</f>
        <v>5128509.1883671321</v>
      </c>
      <c r="AC11" s="361">
        <f t="shared" ref="AC11:AC15" si="13">U11</f>
        <v>7976834</v>
      </c>
      <c r="AD11" s="67">
        <f t="shared" ref="AD11:AD15" si="14">SUM(Z11:AC11)</f>
        <v>88001148.389999986</v>
      </c>
      <c r="AE11" s="67">
        <f>73875531.7+6512263.24</f>
        <v>80387794.939999998</v>
      </c>
      <c r="AF11" s="67">
        <f t="shared" ref="AF11:AG11" si="15">44186591.91+8707329.7</f>
        <v>52893921.609999999</v>
      </c>
      <c r="AG11" s="67">
        <f t="shared" si="15"/>
        <v>52893921.609999999</v>
      </c>
      <c r="AH11" s="67">
        <f>73875531.7+6518913.23</f>
        <v>80394444.930000007</v>
      </c>
      <c r="AI11" s="73" t="s">
        <v>51</v>
      </c>
      <c r="AJ11" s="792">
        <f t="shared" ref="AJ11:AJ15" si="16">K11-X11</f>
        <v>-1526888.2200000007</v>
      </c>
      <c r="AK11" s="75"/>
      <c r="AM11" s="75"/>
      <c r="AO11" s="636">
        <f t="shared" ref="AO11:AO15" si="17">Y11-W11</f>
        <v>82610868.390000001</v>
      </c>
    </row>
    <row r="12" spans="1:41" ht="36.6" customHeight="1" x14ac:dyDescent="0.25">
      <c r="A12" s="73" t="s">
        <v>56</v>
      </c>
      <c r="B12" s="67">
        <f>'прилож.3-школы'!$N$101+'прилож.3-школы'!$N$123+'прилож.3-школы'!N124</f>
        <v>28384640.469999999</v>
      </c>
      <c r="C12" s="67">
        <f>'прилож.3-школы'!$N$111</f>
        <v>32528209.849999998</v>
      </c>
      <c r="D12" s="67">
        <f>'прилож.3-школы'!$N$119</f>
        <v>6022529.7599999998</v>
      </c>
      <c r="E12" s="67">
        <f>'прилож.3-школы'!$N$122</f>
        <v>9128978.5600000005</v>
      </c>
      <c r="F12" s="67">
        <v>0</v>
      </c>
      <c r="G12" s="71">
        <f t="shared" si="0"/>
        <v>76064358.639999986</v>
      </c>
      <c r="H12" s="69">
        <f>'прилож.3-школы'!$O$130-'прилож.4-школы'!I12-'прилож.4-школы'!L12</f>
        <v>35120014.639999993</v>
      </c>
      <c r="I12" s="69">
        <f t="shared" si="1"/>
        <v>9128978.5600000005</v>
      </c>
      <c r="J12" s="69">
        <f>'прилож.3-школы'!$P$130</f>
        <v>10720290.66</v>
      </c>
      <c r="K12" s="67">
        <f>'прилож.3-школы'!$R$130</f>
        <v>16173514.780000001</v>
      </c>
      <c r="L12" s="67">
        <f>'прилож.3-школы'!$O$127</f>
        <v>4921560</v>
      </c>
      <c r="M12" s="71">
        <f t="shared" si="5"/>
        <v>76064358.640000001</v>
      </c>
      <c r="N12" s="70"/>
      <c r="O12" s="67">
        <f t="shared" si="2"/>
        <v>1.095710477186749</v>
      </c>
      <c r="P12" s="67">
        <f t="shared" si="6"/>
        <v>1.1007278562389349</v>
      </c>
      <c r="Q12" s="67">
        <f t="shared" si="3"/>
        <v>1.0875553070125432</v>
      </c>
      <c r="R12" s="68">
        <f>X12/K12</f>
        <v>0.80097515266251851</v>
      </c>
      <c r="S12" s="68">
        <f t="shared" si="8"/>
        <v>1.0161505079781123</v>
      </c>
      <c r="T12" s="69">
        <f>34987579+537930+2955859</f>
        <v>38481368</v>
      </c>
      <c r="U12" s="67">
        <v>10048521</v>
      </c>
      <c r="V12" s="67">
        <f>11351838+307071</f>
        <v>11658909</v>
      </c>
      <c r="W12" s="67">
        <f>L12</f>
        <v>4921560</v>
      </c>
      <c r="X12" s="811">
        <f>11371049.33+1583534.14</f>
        <v>12954583.470000001</v>
      </c>
      <c r="Y12" s="71">
        <f t="shared" si="9"/>
        <v>78064941.469999999</v>
      </c>
      <c r="Z12" s="361">
        <f t="shared" si="10"/>
        <v>28843066.832366586</v>
      </c>
      <c r="AA12" s="361">
        <f t="shared" si="11"/>
        <v>33053556.962696135</v>
      </c>
      <c r="AB12" s="361">
        <f t="shared" si="12"/>
        <v>6119796.6749372985</v>
      </c>
      <c r="AC12" s="361">
        <f>U12</f>
        <v>10048521</v>
      </c>
      <c r="AD12" s="67">
        <f t="shared" si="14"/>
        <v>78064941.470000014</v>
      </c>
      <c r="AE12" s="67">
        <f>67045126.4+5575323.34</f>
        <v>72620449.739999995</v>
      </c>
      <c r="AF12" s="67">
        <f t="shared" ref="AF12:AG15" si="18">J12</f>
        <v>10720290.66</v>
      </c>
      <c r="AG12" s="67">
        <f t="shared" si="18"/>
        <v>16173514.780000001</v>
      </c>
      <c r="AH12" s="67">
        <f>67045126.4+5581973.33</f>
        <v>72627099.730000004</v>
      </c>
      <c r="AI12" s="73" t="s">
        <v>56</v>
      </c>
      <c r="AJ12" s="792">
        <f t="shared" si="16"/>
        <v>3218931.3100000005</v>
      </c>
      <c r="AK12" s="75"/>
      <c r="AL12" s="75"/>
      <c r="AO12" s="636">
        <f t="shared" si="17"/>
        <v>73143381.469999999</v>
      </c>
    </row>
    <row r="13" spans="1:41" ht="36.6" customHeight="1" x14ac:dyDescent="0.25">
      <c r="A13" s="73" t="s">
        <v>109</v>
      </c>
      <c r="B13" s="67">
        <f>'прилож.3-школы'!$N$229+'прилож.3-школы'!$N$257+'прилож.3-школы'!N256</f>
        <v>16954797.169999998</v>
      </c>
      <c r="C13" s="67">
        <f>'прилож.3-школы'!$N$240</f>
        <v>18009896.909999996</v>
      </c>
      <c r="D13" s="67">
        <f>'прилож.3-школы'!$N$246</f>
        <v>4579877.68</v>
      </c>
      <c r="E13" s="67">
        <f>'прилож.3-школы'!$N$249</f>
        <v>2629309.3000000003</v>
      </c>
      <c r="F13" s="67">
        <v>0</v>
      </c>
      <c r="G13" s="71">
        <f t="shared" si="0"/>
        <v>42173881.059999995</v>
      </c>
      <c r="H13" s="69">
        <f>'прилож.3-школы'!$O$258-'прилож.4-школы'!I13-'прилож.4-школы'!L13</f>
        <v>19122676.889999997</v>
      </c>
      <c r="I13" s="69">
        <f t="shared" si="1"/>
        <v>2629309.3000000003</v>
      </c>
      <c r="J13" s="69">
        <f>'прилож.3-школы'!$P$258</f>
        <v>6805386.75</v>
      </c>
      <c r="K13" s="67">
        <f>'прилож.3-школы'!$R$258</f>
        <v>10569828.119999999</v>
      </c>
      <c r="L13" s="67">
        <f>'прилож.3-школы'!$O$254</f>
        <v>3046680</v>
      </c>
      <c r="M13" s="71">
        <f t="shared" si="5"/>
        <v>42173881.059999995</v>
      </c>
      <c r="N13" s="70"/>
      <c r="O13" s="67">
        <f t="shared" si="2"/>
        <v>1.1491457041504194</v>
      </c>
      <c r="P13" s="67">
        <f t="shared" si="6"/>
        <v>1.0873920386620166</v>
      </c>
      <c r="Q13" s="67">
        <f t="shared" si="3"/>
        <v>1.0821023507591248</v>
      </c>
      <c r="R13" s="67">
        <f t="shared" si="7"/>
        <v>0.98502377539134489</v>
      </c>
      <c r="S13" s="68">
        <f t="shared" si="8"/>
        <v>1.0822491455904439</v>
      </c>
      <c r="T13" s="69">
        <f>20753629+537930+683183</f>
        <v>21974742</v>
      </c>
      <c r="U13" s="67">
        <f>2853750+5340</f>
        <v>2859090</v>
      </c>
      <c r="V13" s="67">
        <f>7069203+294922</f>
        <v>7364125</v>
      </c>
      <c r="W13" s="67">
        <f>L13</f>
        <v>3046680</v>
      </c>
      <c r="X13" s="811">
        <f>9132923+1278609</f>
        <v>10411532</v>
      </c>
      <c r="Y13" s="71">
        <f t="shared" si="9"/>
        <v>45656169</v>
      </c>
      <c r="Z13" s="361">
        <f t="shared" si="10"/>
        <v>18349314.750891775</v>
      </c>
      <c r="AA13" s="361">
        <f t="shared" si="11"/>
        <v>19491195.543019474</v>
      </c>
      <c r="AB13" s="361">
        <f t="shared" si="12"/>
        <v>4956568.7060887441</v>
      </c>
      <c r="AC13" s="361">
        <f t="shared" si="13"/>
        <v>2859090</v>
      </c>
      <c r="AD13" s="67">
        <f t="shared" si="14"/>
        <v>45656168.999999993</v>
      </c>
      <c r="AE13" s="67">
        <f>39546616+3700443.34</f>
        <v>43247059.340000004</v>
      </c>
      <c r="AF13" s="67">
        <f t="shared" si="18"/>
        <v>6805386.75</v>
      </c>
      <c r="AG13" s="67">
        <f t="shared" si="18"/>
        <v>10569828.119999999</v>
      </c>
      <c r="AH13" s="67">
        <f>39546616+3707093.33</f>
        <v>43253709.329999998</v>
      </c>
      <c r="AI13" s="73" t="s">
        <v>109</v>
      </c>
      <c r="AJ13" s="792">
        <f t="shared" si="16"/>
        <v>158296.11999999918</v>
      </c>
      <c r="AK13" s="75"/>
      <c r="AL13" s="75"/>
      <c r="AO13" s="636">
        <f t="shared" si="17"/>
        <v>42609489</v>
      </c>
    </row>
    <row r="14" spans="1:41" ht="36.6" customHeight="1" x14ac:dyDescent="0.25">
      <c r="A14" s="73" t="s">
        <v>110</v>
      </c>
      <c r="B14" s="67">
        <f>'прилож.3-школы'!$N$143+'прилож.3-школы'!$N$164+'прилож.3-школы'!$N$168</f>
        <v>30038056.780000001</v>
      </c>
      <c r="C14" s="67">
        <f>'прилож.3-школы'!$N$154</f>
        <v>32600026.039999999</v>
      </c>
      <c r="D14" s="67">
        <f>'прилож.3-школы'!$N$160</f>
        <v>5471054.4799999995</v>
      </c>
      <c r="E14" s="67">
        <f>'прилож.3-школы'!$N$163</f>
        <v>5951007.3600000003</v>
      </c>
      <c r="F14" s="67">
        <v>0</v>
      </c>
      <c r="G14" s="71">
        <f t="shared" si="0"/>
        <v>74060144.659999996</v>
      </c>
      <c r="H14" s="69">
        <f>'прилож.3-школы'!$O$172-'прилож.4-школы'!I14-'прилож.4-школы'!L14</f>
        <v>38594487.449999996</v>
      </c>
      <c r="I14" s="69">
        <f t="shared" si="1"/>
        <v>5951007.3600000003</v>
      </c>
      <c r="J14" s="69">
        <f>'прилож.3-школы'!$P$172</f>
        <v>9850891.9400000013</v>
      </c>
      <c r="K14" s="67">
        <f>'прилож.3-школы'!$R$172</f>
        <v>14976557.909999998</v>
      </c>
      <c r="L14" s="67">
        <f>'прилож.3-школы'!$O$169</f>
        <v>4687200</v>
      </c>
      <c r="M14" s="71">
        <f t="shared" si="5"/>
        <v>74060144.659999996</v>
      </c>
      <c r="N14" s="70"/>
      <c r="O14" s="67">
        <f t="shared" si="2"/>
        <v>1.1142676543046046</v>
      </c>
      <c r="P14" s="67">
        <f t="shared" si="6"/>
        <v>0.94960006905452721</v>
      </c>
      <c r="Q14" s="67">
        <f t="shared" si="3"/>
        <v>1.0874776685450067</v>
      </c>
      <c r="R14" s="68">
        <f t="shared" si="7"/>
        <v>0.97336254348980789</v>
      </c>
      <c r="S14" s="68">
        <f t="shared" si="8"/>
        <v>1.0715457190205815</v>
      </c>
      <c r="T14" s="69">
        <f>39548005+537930+2918654</f>
        <v>43004589</v>
      </c>
      <c r="U14" s="67">
        <f>5053272+597805</f>
        <v>5651077</v>
      </c>
      <c r="V14" s="67">
        <f>10654648+57977</f>
        <v>10712625</v>
      </c>
      <c r="W14" s="67">
        <f>L14+20</f>
        <v>4687220</v>
      </c>
      <c r="X14" s="810">
        <f>11382791+3194829.5</f>
        <v>14577620.5</v>
      </c>
      <c r="Y14" s="71">
        <f t="shared" si="9"/>
        <v>78633131.5</v>
      </c>
      <c r="Z14" s="361">
        <f t="shared" si="10"/>
        <v>32187151.150306154</v>
      </c>
      <c r="AA14" s="361">
        <f t="shared" si="11"/>
        <v>34932418.343121476</v>
      </c>
      <c r="AB14" s="361">
        <f t="shared" si="12"/>
        <v>5862485.0065723732</v>
      </c>
      <c r="AC14" s="361">
        <f t="shared" si="13"/>
        <v>5651077</v>
      </c>
      <c r="AD14" s="67">
        <f t="shared" si="14"/>
        <v>78633131.5</v>
      </c>
      <c r="AE14" s="67">
        <f>66498061+5837401.32</f>
        <v>72335462.319999993</v>
      </c>
      <c r="AF14" s="67">
        <f t="shared" si="18"/>
        <v>9850891.9400000013</v>
      </c>
      <c r="AG14" s="67">
        <f t="shared" si="18"/>
        <v>14976557.909999998</v>
      </c>
      <c r="AH14" s="67">
        <f>66498061+5844051.34</f>
        <v>72342112.340000004</v>
      </c>
      <c r="AI14" s="73" t="s">
        <v>110</v>
      </c>
      <c r="AJ14" s="792">
        <f t="shared" si="16"/>
        <v>398937.40999999829</v>
      </c>
      <c r="AK14" s="75"/>
      <c r="AL14" s="75"/>
      <c r="AO14" s="636">
        <f t="shared" si="17"/>
        <v>73945911.5</v>
      </c>
    </row>
    <row r="15" spans="1:41" ht="36.6" customHeight="1" x14ac:dyDescent="0.25">
      <c r="A15" s="73" t="s">
        <v>61</v>
      </c>
      <c r="B15" s="67">
        <f>'прилож.3-школы'!$N$185+'прилож.3-школы'!N210+'прилож.3-школы'!$N$211+'прилож.3-школы'!$N$212</f>
        <v>35238102.627999999</v>
      </c>
      <c r="C15" s="67">
        <f>'прилож.3-школы'!$N$197</f>
        <v>46484141.620000005</v>
      </c>
      <c r="D15" s="67">
        <f>'прилож.3-школы'!$N$205</f>
        <v>12342445.129999999</v>
      </c>
      <c r="E15" s="67">
        <f>'прилож.3-школы'!$N$209</f>
        <v>11558588.800000001</v>
      </c>
      <c r="F15" s="67">
        <v>0</v>
      </c>
      <c r="G15" s="71">
        <f t="shared" si="0"/>
        <v>105623278.17799999</v>
      </c>
      <c r="H15" s="69">
        <f>'прилож.3-школы'!$O$217-'прилож.4-школы'!I15-'прилож.4-школы'!L15</f>
        <v>49736386.560000002</v>
      </c>
      <c r="I15" s="69">
        <f t="shared" si="1"/>
        <v>11558588.800000001</v>
      </c>
      <c r="J15" s="69">
        <f>'прилож.3-школы'!$P$217</f>
        <v>14788067.408</v>
      </c>
      <c r="K15" s="67">
        <f>'прилож.3-школы'!$R$217</f>
        <v>22275075.41</v>
      </c>
      <c r="L15" s="67">
        <f>'прилож.3-школы'!$O$214</f>
        <v>7265160</v>
      </c>
      <c r="M15" s="71">
        <f>SUM(H15:L15)</f>
        <v>105623278.178</v>
      </c>
      <c r="N15" s="70"/>
      <c r="O15" s="67">
        <f t="shared" si="2"/>
        <v>1.09732706323891</v>
      </c>
      <c r="P15" s="67">
        <f t="shared" si="6"/>
        <v>1.0588207792286892</v>
      </c>
      <c r="Q15" s="67">
        <f t="shared" si="3"/>
        <v>1.075211084810062</v>
      </c>
      <c r="R15" s="67">
        <f t="shared" si="7"/>
        <v>0.97804298926052435</v>
      </c>
      <c r="S15" s="68">
        <f t="shared" si="8"/>
        <v>1.0580858662068564</v>
      </c>
      <c r="T15" s="69">
        <f>49816671+537950+4222462</f>
        <v>54577083</v>
      </c>
      <c r="U15" s="67">
        <f>11979103+259371</f>
        <v>12238474</v>
      </c>
      <c r="V15" s="67">
        <f>14900330+999964</f>
        <v>15900294</v>
      </c>
      <c r="W15" s="67">
        <f>L15</f>
        <v>7265160</v>
      </c>
      <c r="X15" s="811">
        <f>17805910+3980071.34</f>
        <v>21785981.34</v>
      </c>
      <c r="Y15" s="71">
        <f t="shared" si="9"/>
        <v>111766992.34</v>
      </c>
      <c r="Z15" s="361">
        <f t="shared" si="10"/>
        <v>37284938.342633478</v>
      </c>
      <c r="AA15" s="361">
        <f t="shared" si="11"/>
        <v>49184213.250879891</v>
      </c>
      <c r="AB15" s="361">
        <f t="shared" si="12"/>
        <v>13059366.746486645</v>
      </c>
      <c r="AC15" s="361">
        <f t="shared" si="13"/>
        <v>12238474</v>
      </c>
      <c r="AD15" s="67">
        <f t="shared" si="14"/>
        <v>111766992.34000002</v>
      </c>
      <c r="AE15" s="67">
        <f>93940768+7918943.32</f>
        <v>101859711.31999999</v>
      </c>
      <c r="AF15" s="67">
        <f t="shared" si="18"/>
        <v>14788067.408</v>
      </c>
      <c r="AG15" s="67">
        <f t="shared" si="18"/>
        <v>22275075.41</v>
      </c>
      <c r="AH15" s="67">
        <f>93940768+7925593.34</f>
        <v>101866361.34</v>
      </c>
      <c r="AI15" s="73" t="s">
        <v>61</v>
      </c>
      <c r="AJ15" s="792">
        <f t="shared" si="16"/>
        <v>489094.0700000003</v>
      </c>
      <c r="AK15" s="75"/>
      <c r="AL15" s="75"/>
      <c r="AO15" s="636">
        <f t="shared" si="17"/>
        <v>104501832.34</v>
      </c>
    </row>
    <row r="16" spans="1:41" ht="36.6" customHeight="1" x14ac:dyDescent="0.25">
      <c r="A16" s="76" t="s">
        <v>111</v>
      </c>
      <c r="B16" s="71">
        <f t="shared" ref="B16:K16" si="19">SUM(B10:B15)</f>
        <v>187091022.178</v>
      </c>
      <c r="C16" s="71">
        <f t="shared" si="19"/>
        <v>209884708.10999998</v>
      </c>
      <c r="D16" s="71">
        <f>SUM(D10:D15)</f>
        <v>42356266.659999996</v>
      </c>
      <c r="E16" s="71">
        <f t="shared" si="19"/>
        <v>44352995.700000003</v>
      </c>
      <c r="F16" s="71">
        <f t="shared" si="19"/>
        <v>0</v>
      </c>
      <c r="G16" s="71">
        <f t="shared" si="0"/>
        <v>483684992.64799994</v>
      </c>
      <c r="H16" s="74">
        <f>SUM(H10:H15)</f>
        <v>235108400.62999997</v>
      </c>
      <c r="I16" s="74">
        <f>SUM(I10:I15)</f>
        <v>44352995.700000003</v>
      </c>
      <c r="J16" s="74">
        <f>SUM(J10:J15)</f>
        <v>70808008.877999991</v>
      </c>
      <c r="K16" s="71">
        <f t="shared" si="19"/>
        <v>100370787.44</v>
      </c>
      <c r="L16" s="71">
        <f>SUM(L10:L15)</f>
        <v>33044800</v>
      </c>
      <c r="M16" s="71">
        <f t="shared" si="5"/>
        <v>483684992.64799994</v>
      </c>
      <c r="N16" s="70">
        <f>SUM(N10:N15)</f>
        <v>0</v>
      </c>
      <c r="O16" s="67">
        <f t="shared" si="2"/>
        <v>1.0984708003115304</v>
      </c>
      <c r="P16" s="67">
        <f t="shared" si="6"/>
        <v>1.0417981980865387</v>
      </c>
      <c r="Q16" s="67">
        <f t="shared" si="3"/>
        <v>1.0457748378094425</v>
      </c>
      <c r="R16" s="68">
        <f t="shared" si="7"/>
        <v>0.97331541568704871</v>
      </c>
      <c r="S16" s="68">
        <f t="shared" si="8"/>
        <v>1.0523774387293801</v>
      </c>
      <c r="T16" s="71">
        <f>SUM(T10:T15)</f>
        <v>258259713</v>
      </c>
      <c r="U16" s="71">
        <f>SUM(U10:U15)</f>
        <v>46206871</v>
      </c>
      <c r="V16" s="71">
        <f>SUM(V10:V15)</f>
        <v>74049234</v>
      </c>
      <c r="W16" s="71">
        <f>SUM(W10:W15)</f>
        <v>32341700</v>
      </c>
      <c r="X16" s="948">
        <f>SUM(X10:X15)</f>
        <v>97692434.700000003</v>
      </c>
      <c r="Y16" s="71">
        <f t="shared" si="9"/>
        <v>508549952.69999999</v>
      </c>
      <c r="Z16" s="362">
        <f>SUM(Z10:Z15)</f>
        <v>196883003.21928823</v>
      </c>
      <c r="AA16" s="362">
        <f>SUM(AA10:AA15)</f>
        <v>220848847.43763831</v>
      </c>
      <c r="AB16" s="362">
        <f>SUM(AB10:AB15)</f>
        <v>44611231.043073505</v>
      </c>
      <c r="AC16" s="362">
        <f>SUM(AC10:AC15)</f>
        <v>46206871</v>
      </c>
      <c r="AD16" s="71">
        <f>SUM(Z16:AC16)</f>
        <v>508549952.70000005</v>
      </c>
      <c r="AE16" s="71">
        <f>SUM(AE10:AE15)</f>
        <v>467116916</v>
      </c>
      <c r="AF16" s="71">
        <f t="shared" ref="AF16:AG16" si="20">SUM(AF10:AF15)</f>
        <v>263667600.368</v>
      </c>
      <c r="AG16" s="71">
        <f t="shared" si="20"/>
        <v>222471302.8475512</v>
      </c>
      <c r="AH16" s="71">
        <f>SUM(AH10:AH15)</f>
        <v>466922416</v>
      </c>
      <c r="AI16" s="73" t="s">
        <v>111</v>
      </c>
      <c r="AJ16" s="785">
        <f>SUM(AJ10:AJ15)</f>
        <v>2678352.7399999984</v>
      </c>
      <c r="AK16" s="652" t="s">
        <v>445</v>
      </c>
      <c r="AO16" s="75">
        <f>SUM(AO10:AO15)</f>
        <v>476208252.70000005</v>
      </c>
    </row>
    <row r="17" spans="1:34" ht="36.6" customHeight="1" x14ac:dyDescent="0.25">
      <c r="G17" s="80"/>
      <c r="Y17" s="773"/>
    </row>
    <row r="18" spans="1:34" ht="36.6" customHeight="1" x14ac:dyDescent="0.25">
      <c r="A18" s="48" t="s">
        <v>78</v>
      </c>
      <c r="H18" s="75"/>
      <c r="I18" s="75"/>
      <c r="J18" s="75"/>
      <c r="T18" s="75"/>
      <c r="X18" s="772"/>
      <c r="Y18" s="75"/>
      <c r="AH18" s="75"/>
    </row>
    <row r="19" spans="1:34" x14ac:dyDescent="0.25">
      <c r="G19" s="77"/>
      <c r="H19" s="75"/>
      <c r="M19" s="75"/>
    </row>
    <row r="20" spans="1:34" ht="20.399999999999999" hidden="1" customHeight="1" x14ac:dyDescent="0.25">
      <c r="B20" s="75"/>
      <c r="C20" s="75"/>
      <c r="D20" s="75"/>
      <c r="R20" s="49">
        <v>1.03</v>
      </c>
      <c r="T20" s="48" t="s">
        <v>294</v>
      </c>
      <c r="Y20" s="78"/>
    </row>
    <row r="21" spans="1:34" x14ac:dyDescent="0.25">
      <c r="B21" s="75"/>
      <c r="G21" s="75"/>
    </row>
    <row r="22" spans="1:34" x14ac:dyDescent="0.25">
      <c r="H22" s="75"/>
    </row>
  </sheetData>
  <mergeCells count="12">
    <mergeCell ref="AJ7:AL7"/>
    <mergeCell ref="X2:Y2"/>
    <mergeCell ref="X3:Y3"/>
    <mergeCell ref="Z7:AC7"/>
    <mergeCell ref="T7:Y7"/>
    <mergeCell ref="B9:E9"/>
    <mergeCell ref="A5:L5"/>
    <mergeCell ref="A7:A8"/>
    <mergeCell ref="G7:G8"/>
    <mergeCell ref="O7:R7"/>
    <mergeCell ref="B7:E7"/>
    <mergeCell ref="H7:L7"/>
  </mergeCells>
  <pageMargins left="0" right="0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T190"/>
  <sheetViews>
    <sheetView topLeftCell="A167" zoomScale="70" zoomScaleNormal="70" workbookViewId="0">
      <selection activeCell="AM126" sqref="AM126"/>
    </sheetView>
  </sheetViews>
  <sheetFormatPr defaultColWidth="9.109375" defaultRowHeight="13.8" x14ac:dyDescent="0.25"/>
  <cols>
    <col min="1" max="1" width="28.5546875" style="83" customWidth="1"/>
    <col min="2" max="2" width="22.6640625" style="83" customWidth="1"/>
    <col min="3" max="3" width="23.6640625" style="83" customWidth="1"/>
    <col min="4" max="4" width="7.109375" style="84" customWidth="1"/>
    <col min="5" max="5" width="10.6640625" style="84" hidden="1" customWidth="1"/>
    <col min="6" max="6" width="11" style="83" hidden="1" customWidth="1"/>
    <col min="7" max="7" width="8.6640625" style="83" customWidth="1"/>
    <col min="8" max="8" width="9.33203125" style="84" customWidth="1"/>
    <col min="9" max="9" width="8.5546875" style="84" customWidth="1"/>
    <col min="10" max="10" width="18.33203125" style="83" customWidth="1"/>
    <col min="11" max="11" width="13.109375" style="84" customWidth="1"/>
    <col min="12" max="12" width="13.88671875" style="83" customWidth="1"/>
    <col min="13" max="13" width="13.33203125" style="84" customWidth="1"/>
    <col min="14" max="14" width="15.109375" style="84" customWidth="1"/>
    <col min="15" max="15" width="16" style="84" customWidth="1"/>
    <col min="16" max="16" width="14.21875" style="84" hidden="1" customWidth="1"/>
    <col min="17" max="17" width="15.109375" style="83" customWidth="1"/>
    <col min="18" max="18" width="0.44140625" style="83" hidden="1" customWidth="1"/>
    <col min="19" max="19" width="14.33203125" style="83" customWidth="1"/>
    <col min="20" max="20" width="16.5546875" style="84" customWidth="1"/>
    <col min="21" max="21" width="14.44140625" style="84" customWidth="1"/>
    <col min="22" max="22" width="15.33203125" style="84" customWidth="1"/>
    <col min="23" max="23" width="15.33203125" style="83" hidden="1" customWidth="1"/>
    <col min="24" max="24" width="17.5546875" style="83" hidden="1" customWidth="1"/>
    <col min="25" max="25" width="18.6640625" style="83" hidden="1" customWidth="1"/>
    <col min="26" max="26" width="9.109375" style="83" hidden="1" customWidth="1"/>
    <col min="27" max="27" width="16.5546875" style="83" hidden="1" customWidth="1"/>
    <col min="28" max="28" width="17.109375" style="83" hidden="1" customWidth="1"/>
    <col min="29" max="29" width="15.6640625" style="83" hidden="1" customWidth="1"/>
    <col min="30" max="30" width="9.109375" style="83" customWidth="1"/>
    <col min="31" max="31" width="13.5546875" style="83" hidden="1" customWidth="1"/>
    <col min="32" max="32" width="13.33203125" style="83" hidden="1" customWidth="1"/>
    <col min="33" max="33" width="13.88671875" style="83" hidden="1" customWidth="1"/>
    <col min="34" max="34" width="14.88671875" style="83" customWidth="1"/>
    <col min="35" max="16384" width="9.109375" style="83"/>
  </cols>
  <sheetData>
    <row r="1" spans="1:29" ht="16.2" customHeight="1" x14ac:dyDescent="0.25">
      <c r="D1" s="83"/>
      <c r="E1" s="83"/>
      <c r="H1" s="83"/>
      <c r="I1" s="83"/>
      <c r="K1" s="83"/>
      <c r="M1" s="83"/>
      <c r="N1" s="83"/>
      <c r="O1" s="83"/>
      <c r="P1" s="83"/>
      <c r="T1" s="85"/>
      <c r="U1" s="83"/>
      <c r="V1" s="83"/>
    </row>
    <row r="2" spans="1:29" ht="21" customHeight="1" x14ac:dyDescent="0.25">
      <c r="D2" s="83"/>
      <c r="E2" s="83"/>
      <c r="H2" s="83"/>
      <c r="I2" s="83"/>
      <c r="K2" s="83"/>
      <c r="M2" s="83"/>
      <c r="N2" s="83"/>
      <c r="O2" s="83"/>
      <c r="P2" s="83"/>
      <c r="T2" s="85" t="s">
        <v>0</v>
      </c>
      <c r="U2" s="83"/>
      <c r="V2" s="83"/>
    </row>
    <row r="3" spans="1:29" ht="21" customHeight="1" x14ac:dyDescent="0.25">
      <c r="D3" s="83"/>
      <c r="E3" s="83"/>
      <c r="H3" s="83"/>
      <c r="I3" s="83"/>
      <c r="K3" s="83"/>
      <c r="M3" s="83"/>
      <c r="N3" s="83"/>
      <c r="O3" s="83"/>
      <c r="P3" s="83"/>
      <c r="T3" s="85" t="s">
        <v>642</v>
      </c>
      <c r="U3" s="83"/>
      <c r="V3" s="83"/>
    </row>
    <row r="4" spans="1:29" ht="21" customHeight="1" x14ac:dyDescent="0.25">
      <c r="D4" s="83"/>
      <c r="E4" s="83"/>
      <c r="H4" s="83"/>
      <c r="I4" s="83"/>
      <c r="K4" s="83"/>
      <c r="M4" s="83"/>
      <c r="N4" s="83"/>
      <c r="O4" s="83"/>
      <c r="P4" s="83"/>
      <c r="T4" s="85"/>
      <c r="U4" s="83"/>
      <c r="V4" s="83"/>
    </row>
    <row r="5" spans="1:29" ht="21" customHeight="1" x14ac:dyDescent="0.25">
      <c r="A5" s="869" t="s">
        <v>571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  <c r="R5" s="869"/>
      <c r="S5" s="869"/>
      <c r="T5" s="869"/>
      <c r="U5" s="869"/>
      <c r="V5" s="869"/>
    </row>
    <row r="6" spans="1:29" ht="21" hidden="1" customHeight="1" x14ac:dyDescent="0.25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</row>
    <row r="7" spans="1:29" ht="21" customHeight="1" x14ac:dyDescent="0.25">
      <c r="A7" s="86" t="s">
        <v>295</v>
      </c>
      <c r="D7" s="83"/>
      <c r="E7" s="83"/>
      <c r="H7" s="83"/>
      <c r="I7" s="83"/>
      <c r="K7" s="83"/>
      <c r="M7" s="83"/>
      <c r="N7" s="83"/>
      <c r="O7" s="83"/>
      <c r="P7" s="83"/>
      <c r="T7" s="83"/>
      <c r="U7" s="83"/>
      <c r="V7" s="83"/>
    </row>
    <row r="8" spans="1:29" ht="21" customHeight="1" x14ac:dyDescent="0.25">
      <c r="D8" s="83"/>
      <c r="E8" s="83"/>
      <c r="H8" s="83"/>
      <c r="I8" s="83"/>
      <c r="K8" s="83"/>
      <c r="M8" s="83"/>
      <c r="N8" s="83"/>
      <c r="O8" s="83"/>
      <c r="P8" s="83"/>
      <c r="T8" s="83"/>
      <c r="U8" s="83"/>
      <c r="V8" s="83"/>
    </row>
    <row r="9" spans="1:29" ht="51.6" customHeight="1" x14ac:dyDescent="0.25">
      <c r="A9" s="87" t="s">
        <v>2</v>
      </c>
      <c r="B9" s="87" t="s">
        <v>116</v>
      </c>
      <c r="C9" s="87" t="s">
        <v>117</v>
      </c>
      <c r="D9" s="604" t="s">
        <v>5</v>
      </c>
      <c r="E9" s="875" t="s">
        <v>6</v>
      </c>
      <c r="F9" s="876"/>
      <c r="G9" s="876"/>
      <c r="H9" s="876"/>
      <c r="I9" s="877"/>
      <c r="J9" s="878" t="s">
        <v>7</v>
      </c>
      <c r="K9" s="879"/>
      <c r="L9" s="879"/>
      <c r="M9" s="880"/>
      <c r="N9" s="875" t="s">
        <v>8</v>
      </c>
      <c r="O9" s="876"/>
      <c r="P9" s="876"/>
      <c r="Q9" s="876"/>
      <c r="R9" s="876"/>
      <c r="S9" s="876"/>
      <c r="T9" s="876"/>
      <c r="U9" s="876"/>
      <c r="V9" s="877"/>
    </row>
    <row r="10" spans="1:29" ht="79.2" customHeight="1" x14ac:dyDescent="0.25">
      <c r="A10" s="88"/>
      <c r="B10" s="88"/>
      <c r="C10" s="88"/>
      <c r="D10" s="89"/>
      <c r="E10" s="90" t="s">
        <v>476</v>
      </c>
      <c r="F10" s="680" t="s">
        <v>536</v>
      </c>
      <c r="G10" s="91" t="s">
        <v>638</v>
      </c>
      <c r="H10" s="630" t="s">
        <v>439</v>
      </c>
      <c r="I10" s="630" t="s">
        <v>565</v>
      </c>
      <c r="J10" s="92" t="s">
        <v>521</v>
      </c>
      <c r="K10" s="603" t="s">
        <v>437</v>
      </c>
      <c r="L10" s="92" t="s">
        <v>118</v>
      </c>
      <c r="M10" s="630" t="s">
        <v>119</v>
      </c>
      <c r="N10" s="885" t="s">
        <v>333</v>
      </c>
      <c r="O10" s="886"/>
      <c r="P10" s="886"/>
      <c r="Q10" s="886"/>
      <c r="R10" s="886"/>
      <c r="S10" s="886"/>
      <c r="T10" s="887"/>
      <c r="U10" s="630" t="s">
        <v>439</v>
      </c>
      <c r="V10" s="630" t="s">
        <v>565</v>
      </c>
      <c r="AA10" s="83">
        <v>21722659.059999999</v>
      </c>
      <c r="AB10" s="93">
        <f>AA10+U23</f>
        <v>23439424.18</v>
      </c>
    </row>
    <row r="11" spans="1:29" ht="97.2" customHeight="1" x14ac:dyDescent="0.25">
      <c r="A11" s="92" t="s">
        <v>18</v>
      </c>
      <c r="B11" s="92" t="s">
        <v>120</v>
      </c>
      <c r="C11" s="94"/>
      <c r="D11" s="370" t="s">
        <v>19</v>
      </c>
      <c r="E11" s="370" t="s">
        <v>20</v>
      </c>
      <c r="F11" s="371" t="s">
        <v>20</v>
      </c>
      <c r="G11" s="371" t="s">
        <v>20</v>
      </c>
      <c r="H11" s="370" t="s">
        <v>20</v>
      </c>
      <c r="I11" s="370" t="s">
        <v>20</v>
      </c>
      <c r="J11" s="92" t="s">
        <v>21</v>
      </c>
      <c r="K11" s="90" t="s">
        <v>21</v>
      </c>
      <c r="L11" s="92" t="s">
        <v>21</v>
      </c>
      <c r="M11" s="90" t="s">
        <v>21</v>
      </c>
      <c r="N11" s="90" t="s">
        <v>522</v>
      </c>
      <c r="O11" s="90" t="s">
        <v>121</v>
      </c>
      <c r="P11" s="629" t="s">
        <v>122</v>
      </c>
      <c r="Q11" s="87" t="s">
        <v>123</v>
      </c>
      <c r="R11" s="87" t="s">
        <v>124</v>
      </c>
      <c r="S11" s="87" t="s">
        <v>125</v>
      </c>
      <c r="T11" s="95" t="s">
        <v>119</v>
      </c>
      <c r="U11" s="90" t="s">
        <v>21</v>
      </c>
      <c r="V11" s="90" t="s">
        <v>21</v>
      </c>
      <c r="W11" s="93"/>
      <c r="AA11" s="93">
        <f>U12-AB10</f>
        <v>18785882.314999998</v>
      </c>
    </row>
    <row r="12" spans="1:29" ht="28.95" customHeight="1" x14ac:dyDescent="0.25">
      <c r="A12" s="96" t="s">
        <v>126</v>
      </c>
      <c r="B12" s="97"/>
      <c r="C12" s="97"/>
      <c r="D12" s="630"/>
      <c r="E12" s="98"/>
      <c r="F12" s="99"/>
      <c r="G12" s="99"/>
      <c r="H12" s="98"/>
      <c r="I12" s="98"/>
      <c r="J12" s="99"/>
      <c r="K12" s="98"/>
      <c r="L12" s="99"/>
      <c r="M12" s="100"/>
      <c r="N12" s="101">
        <f>N13</f>
        <v>12458473.439999999</v>
      </c>
      <c r="O12" s="101">
        <f t="shared" ref="O12:R12" si="0">O13</f>
        <v>5610173.2949999999</v>
      </c>
      <c r="P12" s="101">
        <f t="shared" si="0"/>
        <v>0</v>
      </c>
      <c r="Q12" s="807">
        <f>Q13+Q22</f>
        <v>22736812.77</v>
      </c>
      <c r="R12" s="101">
        <f t="shared" si="0"/>
        <v>0</v>
      </c>
      <c r="S12" s="101">
        <f>S23</f>
        <v>1757640.48</v>
      </c>
      <c r="T12" s="101">
        <f>T13+T22+T23</f>
        <v>42563099.984999992</v>
      </c>
      <c r="U12" s="101">
        <f>U13+U22+U23</f>
        <v>42225306.494999997</v>
      </c>
      <c r="V12" s="101">
        <f t="shared" ref="V12" si="1">V13+V22+V23</f>
        <v>42225306.494999997</v>
      </c>
      <c r="W12" s="93">
        <v>9687443.9800000004</v>
      </c>
      <c r="X12" s="93">
        <f>W12-Q12</f>
        <v>-13049368.789999999</v>
      </c>
      <c r="Y12" s="83">
        <f>X12/144</f>
        <v>-90620.616597222222</v>
      </c>
      <c r="AA12" s="83">
        <v>8719839.9800000004</v>
      </c>
      <c r="AB12" s="93">
        <f>AA12-Q12</f>
        <v>-14016972.789999999</v>
      </c>
      <c r="AC12" s="103">
        <f>AB12/I23</f>
        <v>-166868.72369047618</v>
      </c>
    </row>
    <row r="13" spans="1:29" ht="73.95" customHeight="1" x14ac:dyDescent="0.25">
      <c r="A13" s="92" t="s">
        <v>127</v>
      </c>
      <c r="B13" s="87" t="s">
        <v>128</v>
      </c>
      <c r="C13" s="87"/>
      <c r="D13" s="630"/>
      <c r="E13" s="98"/>
      <c r="F13" s="99"/>
      <c r="G13" s="99"/>
      <c r="H13" s="98"/>
      <c r="I13" s="98"/>
      <c r="J13" s="99"/>
      <c r="K13" s="98"/>
      <c r="L13" s="99"/>
      <c r="M13" s="98"/>
      <c r="N13" s="98">
        <f>N14+N15+N17+N18+N21+N20+N16+N19</f>
        <v>12458473.439999999</v>
      </c>
      <c r="O13" s="98">
        <f>O14+O15+O17+O18+O21+O20+O16+O19</f>
        <v>5610173.2949999999</v>
      </c>
      <c r="P13" s="98">
        <f t="shared" ref="P13:S13" si="2">P14+P15+P17+P18+P21+P20+P16</f>
        <v>0</v>
      </c>
      <c r="Q13" s="102">
        <f>Q14+Q15+Q17+Q18+Q21+Q20+Q16+Q19-1+0.47</f>
        <v>9969310.3900000006</v>
      </c>
      <c r="R13" s="98">
        <f t="shared" si="2"/>
        <v>0</v>
      </c>
      <c r="S13" s="98">
        <f t="shared" si="2"/>
        <v>0</v>
      </c>
      <c r="T13" s="102">
        <f>T14+T15+T17+T18+T21+T20+T16+T19-1+0.47</f>
        <v>28037957.124999996</v>
      </c>
      <c r="U13" s="98">
        <f t="shared" ref="U13:V13" si="3">U14+U15+U17+U18+U21+U20+U16+U19</f>
        <v>28037957.654999997</v>
      </c>
      <c r="V13" s="98">
        <f t="shared" si="3"/>
        <v>28037957.654999997</v>
      </c>
      <c r="W13" s="93">
        <v>21722659.059999999</v>
      </c>
      <c r="X13" s="93"/>
    </row>
    <row r="14" spans="1:29" ht="76.2" customHeight="1" x14ac:dyDescent="0.25">
      <c r="A14" s="92"/>
      <c r="B14" s="97" t="s">
        <v>446</v>
      </c>
      <c r="C14" s="863" t="s">
        <v>296</v>
      </c>
      <c r="D14" s="630" t="s">
        <v>130</v>
      </c>
      <c r="E14" s="104">
        <v>12</v>
      </c>
      <c r="F14" s="580">
        <v>15</v>
      </c>
      <c r="G14" s="113">
        <f>18</f>
        <v>18</v>
      </c>
      <c r="H14" s="104">
        <f>16+1</f>
        <v>17</v>
      </c>
      <c r="I14" s="104">
        <f>16+1</f>
        <v>17</v>
      </c>
      <c r="J14" s="99">
        <v>96720.13</v>
      </c>
      <c r="K14" s="98">
        <f>53973.17+18883.56</f>
        <v>72856.73</v>
      </c>
      <c r="L14" s="101">
        <f>115922.22</f>
        <v>115922.22</v>
      </c>
      <c r="M14" s="98">
        <f>J14+K14+L14</f>
        <v>285499.07999999996</v>
      </c>
      <c r="N14" s="98">
        <f>G14*J14</f>
        <v>1740962.34</v>
      </c>
      <c r="O14" s="98">
        <f>G14*K14</f>
        <v>1311421.1399999999</v>
      </c>
      <c r="P14" s="98"/>
      <c r="Q14" s="99">
        <f>G14*L14</f>
        <v>2086599.96</v>
      </c>
      <c r="R14" s="99"/>
      <c r="S14" s="99">
        <v>0</v>
      </c>
      <c r="T14" s="98">
        <f>SUM(N14:Q14)</f>
        <v>5138983.4399999995</v>
      </c>
      <c r="U14" s="98">
        <f>T14</f>
        <v>5138983.4399999995</v>
      </c>
      <c r="V14" s="98">
        <f>U14</f>
        <v>5138983.4399999995</v>
      </c>
      <c r="X14" s="93">
        <f>W13-U12</f>
        <v>-20502647.434999999</v>
      </c>
    </row>
    <row r="15" spans="1:29" ht="27.6" customHeight="1" x14ac:dyDescent="0.25">
      <c r="A15" s="97"/>
      <c r="B15" s="97" t="s">
        <v>334</v>
      </c>
      <c r="C15" s="873"/>
      <c r="D15" s="630" t="s">
        <v>130</v>
      </c>
      <c r="E15" s="104">
        <v>4</v>
      </c>
      <c r="F15" s="580">
        <v>1</v>
      </c>
      <c r="G15" s="104">
        <f>3-3</f>
        <v>0</v>
      </c>
      <c r="H15" s="104">
        <f>3-3</f>
        <v>0</v>
      </c>
      <c r="I15" s="104">
        <f>3-3</f>
        <v>0</v>
      </c>
      <c r="J15" s="99">
        <v>76926.259999999995</v>
      </c>
      <c r="K15" s="98">
        <f>53973.17+18883.56</f>
        <v>72856.73</v>
      </c>
      <c r="L15" s="101">
        <f t="shared" ref="L15:L21" si="4">115922.22</f>
        <v>115922.22</v>
      </c>
      <c r="M15" s="98">
        <f>J15+K15+L15</f>
        <v>265705.20999999996</v>
      </c>
      <c r="N15" s="98">
        <f t="shared" ref="N15:N22" si="5">G15*J15</f>
        <v>0</v>
      </c>
      <c r="O15" s="98">
        <f>G15*K15</f>
        <v>0</v>
      </c>
      <c r="P15" s="98"/>
      <c r="Q15" s="99">
        <f>G15*L15</f>
        <v>0</v>
      </c>
      <c r="R15" s="99"/>
      <c r="S15" s="99">
        <v>0</v>
      </c>
      <c r="T15" s="98">
        <f t="shared" ref="T15:T21" si="6">SUM(N15:Q15)</f>
        <v>0</v>
      </c>
      <c r="U15" s="98">
        <f t="shared" ref="U15:V21" si="7">T15</f>
        <v>0</v>
      </c>
      <c r="V15" s="98">
        <f t="shared" si="7"/>
        <v>0</v>
      </c>
      <c r="X15" s="93"/>
    </row>
    <row r="16" spans="1:29" ht="27.6" customHeight="1" x14ac:dyDescent="0.25">
      <c r="A16" s="97"/>
      <c r="B16" s="97" t="s">
        <v>334</v>
      </c>
      <c r="C16" s="870" t="s">
        <v>447</v>
      </c>
      <c r="D16" s="630" t="s">
        <v>130</v>
      </c>
      <c r="E16" s="104">
        <v>50</v>
      </c>
      <c r="F16" s="580">
        <v>54</v>
      </c>
      <c r="G16" s="104">
        <f>54+1</f>
        <v>55</v>
      </c>
      <c r="H16" s="104">
        <f>54</f>
        <v>54</v>
      </c>
      <c r="I16" s="104">
        <f>54</f>
        <v>54</v>
      </c>
      <c r="J16" s="99">
        <v>148485.44</v>
      </c>
      <c r="K16" s="98">
        <f>40509.87+18883.56</f>
        <v>59393.430000000008</v>
      </c>
      <c r="L16" s="101">
        <f t="shared" si="4"/>
        <v>115922.22</v>
      </c>
      <c r="M16" s="98">
        <f>J16+K16+L16</f>
        <v>323801.08999999997</v>
      </c>
      <c r="N16" s="98">
        <f>G16*J16-195554.87+219966.72-36661.12+12249.27</f>
        <v>8166699.1999999993</v>
      </c>
      <c r="O16" s="98">
        <f>(G16-9)*K16+135373.09+289272.46+61639.29-65166.86+33969.65+0.31</f>
        <v>3187185.72</v>
      </c>
      <c r="P16" s="98"/>
      <c r="Q16" s="99">
        <f>G16*L16</f>
        <v>6375722.0999999996</v>
      </c>
      <c r="R16" s="99"/>
      <c r="S16" s="99">
        <v>0</v>
      </c>
      <c r="T16" s="98">
        <f t="shared" ref="T16" si="8">SUM(N16:Q16)</f>
        <v>17729607.02</v>
      </c>
      <c r="U16" s="98">
        <f t="shared" si="7"/>
        <v>17729607.02</v>
      </c>
      <c r="V16" s="98">
        <f t="shared" si="7"/>
        <v>17729607.02</v>
      </c>
      <c r="X16" s="93"/>
    </row>
    <row r="17" spans="1:52" ht="32.4" customHeight="1" x14ac:dyDescent="0.25">
      <c r="A17" s="92"/>
      <c r="B17" s="371" t="s">
        <v>335</v>
      </c>
      <c r="C17" s="871"/>
      <c r="D17" s="630" t="s">
        <v>130</v>
      </c>
      <c r="E17" s="104">
        <v>2</v>
      </c>
      <c r="F17" s="674">
        <v>2</v>
      </c>
      <c r="G17" s="104">
        <f>2-2</f>
        <v>0</v>
      </c>
      <c r="H17" s="104">
        <f>2-2</f>
        <v>0</v>
      </c>
      <c r="I17" s="104">
        <f>2-2</f>
        <v>0</v>
      </c>
      <c r="J17" s="99">
        <v>148485.44</v>
      </c>
      <c r="K17" s="98">
        <f>40509.87+18883.56</f>
        <v>59393.430000000008</v>
      </c>
      <c r="L17" s="101">
        <f t="shared" si="4"/>
        <v>115922.22</v>
      </c>
      <c r="M17" s="98">
        <f t="shared" ref="M17:M93" si="9">J17+K17+L17</f>
        <v>323801.08999999997</v>
      </c>
      <c r="N17" s="98">
        <f t="shared" si="5"/>
        <v>0</v>
      </c>
      <c r="O17" s="98">
        <f t="shared" ref="O17:O21" si="10">G17*K17</f>
        <v>0</v>
      </c>
      <c r="P17" s="98"/>
      <c r="Q17" s="99">
        <f t="shared" ref="Q17:Q21" si="11">G17*L17</f>
        <v>0</v>
      </c>
      <c r="R17" s="99"/>
      <c r="S17" s="99">
        <v>0</v>
      </c>
      <c r="T17" s="98">
        <f t="shared" si="6"/>
        <v>0</v>
      </c>
      <c r="U17" s="98">
        <f t="shared" si="7"/>
        <v>0</v>
      </c>
      <c r="V17" s="98">
        <f t="shared" si="7"/>
        <v>0</v>
      </c>
      <c r="X17" s="93"/>
    </row>
    <row r="18" spans="1:52" ht="27" customHeight="1" x14ac:dyDescent="0.25">
      <c r="A18" s="97"/>
      <c r="B18" s="97" t="s">
        <v>334</v>
      </c>
      <c r="C18" s="871"/>
      <c r="D18" s="630" t="s">
        <v>130</v>
      </c>
      <c r="E18" s="104">
        <v>10</v>
      </c>
      <c r="F18" s="580">
        <v>1</v>
      </c>
      <c r="G18" s="104">
        <f>7-7</f>
        <v>0</v>
      </c>
      <c r="H18" s="104">
        <f>7-7</f>
        <v>0</v>
      </c>
      <c r="I18" s="104">
        <f>7-7</f>
        <v>0</v>
      </c>
      <c r="J18" s="99">
        <v>196216.3</v>
      </c>
      <c r="K18" s="761">
        <f t="shared" ref="K18:K20" si="12">53973.17+18883.56*1.5</f>
        <v>82298.510000000009</v>
      </c>
      <c r="L18" s="101">
        <f t="shared" si="4"/>
        <v>115922.22</v>
      </c>
      <c r="M18" s="98">
        <f t="shared" si="9"/>
        <v>394437.03</v>
      </c>
      <c r="N18" s="98">
        <f t="shared" si="5"/>
        <v>0</v>
      </c>
      <c r="O18" s="98">
        <f>G18*K18</f>
        <v>0</v>
      </c>
      <c r="P18" s="98"/>
      <c r="Q18" s="99">
        <f t="shared" si="11"/>
        <v>0</v>
      </c>
      <c r="R18" s="99"/>
      <c r="S18" s="99">
        <v>0</v>
      </c>
      <c r="T18" s="98">
        <f t="shared" ref="T18" si="13">SUM(N18:Q18)</f>
        <v>0</v>
      </c>
      <c r="U18" s="98">
        <f t="shared" si="7"/>
        <v>0</v>
      </c>
      <c r="V18" s="98">
        <f t="shared" si="7"/>
        <v>0</v>
      </c>
      <c r="X18" s="93"/>
    </row>
    <row r="19" spans="1:52" ht="27" customHeight="1" x14ac:dyDescent="0.25">
      <c r="A19" s="97"/>
      <c r="B19" s="97" t="s">
        <v>446</v>
      </c>
      <c r="C19" s="871"/>
      <c r="D19" s="630" t="s">
        <v>130</v>
      </c>
      <c r="E19" s="104"/>
      <c r="F19" s="580"/>
      <c r="G19" s="104">
        <f>1+11</f>
        <v>12</v>
      </c>
      <c r="H19" s="104">
        <f>1+11</f>
        <v>12</v>
      </c>
      <c r="I19" s="104">
        <f>1+11</f>
        <v>12</v>
      </c>
      <c r="J19" s="99">
        <v>196216.3</v>
      </c>
      <c r="K19" s="761">
        <f t="shared" si="12"/>
        <v>82298.510000000009</v>
      </c>
      <c r="L19" s="101">
        <f t="shared" si="4"/>
        <v>115922.22</v>
      </c>
      <c r="M19" s="98">
        <f t="shared" ref="M19" si="14">J19+K19+L19</f>
        <v>394437.03</v>
      </c>
      <c r="N19" s="98">
        <f t="shared" ref="N19" si="15">G19*J19</f>
        <v>2354595.5999999996</v>
      </c>
      <c r="O19" s="98">
        <f>G19*K19</f>
        <v>987582.12000000011</v>
      </c>
      <c r="P19" s="98"/>
      <c r="Q19" s="99">
        <f t="shared" ref="Q19" si="16">G19*L19</f>
        <v>1391066.6400000001</v>
      </c>
      <c r="R19" s="99"/>
      <c r="S19" s="99">
        <v>1</v>
      </c>
      <c r="T19" s="98">
        <f t="shared" ref="T19" si="17">SUM(N19:Q19)</f>
        <v>4733244.3599999994</v>
      </c>
      <c r="U19" s="98">
        <f t="shared" ref="U19" si="18">T19</f>
        <v>4733244.3599999994</v>
      </c>
      <c r="V19" s="98">
        <f t="shared" ref="V19" si="19">U19</f>
        <v>4733244.3599999994</v>
      </c>
      <c r="X19" s="93"/>
    </row>
    <row r="20" spans="1:52" ht="28.2" customHeight="1" x14ac:dyDescent="0.25">
      <c r="A20" s="92"/>
      <c r="B20" s="97" t="s">
        <v>335</v>
      </c>
      <c r="C20" s="871"/>
      <c r="D20" s="630" t="s">
        <v>130</v>
      </c>
      <c r="E20" s="104">
        <v>2</v>
      </c>
      <c r="F20" s="580">
        <v>4</v>
      </c>
      <c r="G20" s="104">
        <f>3-3</f>
        <v>0</v>
      </c>
      <c r="H20" s="104">
        <f>3-3</f>
        <v>0</v>
      </c>
      <c r="I20" s="104">
        <f>3-3</f>
        <v>0</v>
      </c>
      <c r="J20" s="99">
        <v>196216.3</v>
      </c>
      <c r="K20" s="761">
        <f t="shared" si="12"/>
        <v>82298.510000000009</v>
      </c>
      <c r="L20" s="101">
        <f t="shared" si="4"/>
        <v>115922.22</v>
      </c>
      <c r="M20" s="98">
        <f t="shared" si="9"/>
        <v>394437.03</v>
      </c>
      <c r="N20" s="98">
        <f t="shared" si="5"/>
        <v>0</v>
      </c>
      <c r="O20" s="98">
        <f>G20*K20+5945.875+35739.93</f>
        <v>41685.805</v>
      </c>
      <c r="P20" s="98"/>
      <c r="Q20" s="99">
        <f t="shared" si="11"/>
        <v>0</v>
      </c>
      <c r="R20" s="99"/>
      <c r="S20" s="99">
        <v>0</v>
      </c>
      <c r="T20" s="98">
        <f t="shared" ref="T20" si="20">SUM(N20:Q20)</f>
        <v>41685.805</v>
      </c>
      <c r="U20" s="98">
        <f t="shared" si="7"/>
        <v>41685.805</v>
      </c>
      <c r="V20" s="98">
        <f t="shared" si="7"/>
        <v>41685.805</v>
      </c>
      <c r="X20" s="93"/>
    </row>
    <row r="21" spans="1:52" ht="28.2" customHeight="1" x14ac:dyDescent="0.25">
      <c r="A21" s="481" t="s">
        <v>516</v>
      </c>
      <c r="B21" s="97" t="s">
        <v>132</v>
      </c>
      <c r="C21" s="872"/>
      <c r="D21" s="630" t="s">
        <v>130</v>
      </c>
      <c r="E21" s="104">
        <v>1</v>
      </c>
      <c r="F21" s="580">
        <v>7</v>
      </c>
      <c r="G21" s="113">
        <v>1</v>
      </c>
      <c r="H21" s="104">
        <v>1</v>
      </c>
      <c r="I21" s="104">
        <v>1</v>
      </c>
      <c r="J21" s="99">
        <v>196216.3</v>
      </c>
      <c r="K21" s="761">
        <f>53973.17+18883.56*1.5</f>
        <v>82298.510000000009</v>
      </c>
      <c r="L21" s="101">
        <f t="shared" si="4"/>
        <v>115922.22</v>
      </c>
      <c r="M21" s="98">
        <f t="shared" si="9"/>
        <v>394437.03</v>
      </c>
      <c r="N21" s="98">
        <f t="shared" si="5"/>
        <v>196216.3</v>
      </c>
      <c r="O21" s="98">
        <f t="shared" si="10"/>
        <v>82298.510000000009</v>
      </c>
      <c r="P21" s="98"/>
      <c r="Q21" s="99">
        <f t="shared" si="11"/>
        <v>115922.22</v>
      </c>
      <c r="R21" s="99"/>
      <c r="S21" s="99">
        <v>0</v>
      </c>
      <c r="T21" s="98">
        <f t="shared" si="6"/>
        <v>394437.03</v>
      </c>
      <c r="U21" s="98">
        <f t="shared" si="7"/>
        <v>394437.03</v>
      </c>
      <c r="V21" s="98">
        <f t="shared" si="7"/>
        <v>394437.03</v>
      </c>
      <c r="X21" s="93"/>
    </row>
    <row r="22" spans="1:52" s="110" customFormat="1" ht="64.2" customHeight="1" x14ac:dyDescent="0.25">
      <c r="A22" s="90" t="s">
        <v>133</v>
      </c>
      <c r="B22" s="630" t="s">
        <v>134</v>
      </c>
      <c r="C22" s="630" t="s">
        <v>54</v>
      </c>
      <c r="D22" s="630"/>
      <c r="E22" s="109">
        <f>E14+E15+E17+E18+E21+E20+E16</f>
        <v>81</v>
      </c>
      <c r="F22" s="678">
        <f>F14+F15+F17+F18+F21+F20+F16</f>
        <v>84</v>
      </c>
      <c r="G22" s="112">
        <f>G14+G15+G17+G18+G21+G20+G16+G19</f>
        <v>86</v>
      </c>
      <c r="H22" s="112">
        <f t="shared" ref="H22:I22" si="21">H14+H15+H17+H18+H21+H20+H16+H19</f>
        <v>84</v>
      </c>
      <c r="I22" s="112">
        <f t="shared" si="21"/>
        <v>84</v>
      </c>
      <c r="J22" s="109">
        <v>0</v>
      </c>
      <c r="K22" s="109">
        <v>0</v>
      </c>
      <c r="L22" s="372">
        <f>234381.55-115922.22+30000</f>
        <v>148459.32999999999</v>
      </c>
      <c r="M22" s="98">
        <f t="shared" si="9"/>
        <v>148459.32999999999</v>
      </c>
      <c r="N22" s="98">
        <f t="shared" si="5"/>
        <v>0</v>
      </c>
      <c r="O22" s="98">
        <f>G22*K22</f>
        <v>0</v>
      </c>
      <c r="P22" s="109">
        <f t="shared" ref="P22:S22" si="22">P14+P15+P17+P18+P21</f>
        <v>0</v>
      </c>
      <c r="Q22" s="372">
        <f>G22*L22</f>
        <v>12767502.379999999</v>
      </c>
      <c r="R22" s="109">
        <f t="shared" si="22"/>
        <v>0</v>
      </c>
      <c r="S22" s="109">
        <f t="shared" si="22"/>
        <v>0</v>
      </c>
      <c r="T22" s="102">
        <f>SUM(N22:Q22)</f>
        <v>12767502.379999999</v>
      </c>
      <c r="U22" s="98">
        <f>H22*L22</f>
        <v>12470583.719999999</v>
      </c>
      <c r="V22" s="98">
        <f>I22*L22</f>
        <v>12470583.719999999</v>
      </c>
      <c r="W22" s="341" t="e">
        <f>W14+W15+W17+W18+W21+#REF!</f>
        <v>#REF!</v>
      </c>
      <c r="X22" s="341" t="e">
        <f>X14+X15+X17+X18+X21+#REF!</f>
        <v>#REF!</v>
      </c>
      <c r="Y22" s="341" t="e">
        <f>Y14+Y15+Y17+Y18+Y21+#REF!</f>
        <v>#REF!</v>
      </c>
      <c r="Z22" s="341" t="e">
        <f>Z14+Z15+Z17+Z18+Z21+#REF!</f>
        <v>#REF!</v>
      </c>
      <c r="AA22" s="341" t="e">
        <f>AA14+AA15+AA17+AA18+AA21+#REF!</f>
        <v>#REF!</v>
      </c>
      <c r="AB22" s="341" t="e">
        <f>AB14+AB15+AB17+AB18+AB21+#REF!</f>
        <v>#REF!</v>
      </c>
      <c r="AC22" s="341" t="e">
        <f>AC14+AC15+AC17+AC18+AC21+#REF!</f>
        <v>#REF!</v>
      </c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1:52" s="84" customFormat="1" ht="25.95" customHeight="1" x14ac:dyDescent="0.25">
      <c r="A23" s="630"/>
      <c r="B23" s="630" t="s">
        <v>134</v>
      </c>
      <c r="C23" s="630" t="s">
        <v>135</v>
      </c>
      <c r="D23" s="630"/>
      <c r="E23" s="109"/>
      <c r="F23" s="104"/>
      <c r="G23" s="113">
        <f>G22</f>
        <v>86</v>
      </c>
      <c r="H23" s="112">
        <f>H22</f>
        <v>84</v>
      </c>
      <c r="I23" s="112">
        <f>I22</f>
        <v>84</v>
      </c>
      <c r="J23" s="99">
        <v>0</v>
      </c>
      <c r="K23" s="98">
        <v>0</v>
      </c>
      <c r="L23" s="107">
        <v>20437.68</v>
      </c>
      <c r="M23" s="98">
        <f>J23+K23+L23</f>
        <v>20437.68</v>
      </c>
      <c r="N23" s="109"/>
      <c r="O23" s="98"/>
      <c r="P23" s="98"/>
      <c r="Q23" s="99"/>
      <c r="R23" s="99"/>
      <c r="S23" s="107">
        <f>G23*L23</f>
        <v>1757640.48</v>
      </c>
      <c r="T23" s="102">
        <f>S23</f>
        <v>1757640.48</v>
      </c>
      <c r="U23" s="98">
        <f>H23*L23</f>
        <v>1716765.12</v>
      </c>
      <c r="V23" s="98">
        <f>I23*L23</f>
        <v>1716765.12</v>
      </c>
      <c r="AD23" s="83"/>
      <c r="AE23" s="83"/>
      <c r="AF23" s="83"/>
    </row>
    <row r="24" spans="1:52" ht="65.400000000000006" hidden="1" customHeight="1" x14ac:dyDescent="0.25">
      <c r="A24" s="97"/>
      <c r="B24" s="87"/>
      <c r="C24" s="97" t="s">
        <v>44</v>
      </c>
      <c r="D24" s="630"/>
      <c r="E24" s="109"/>
      <c r="F24" s="104"/>
      <c r="G24" s="104"/>
      <c r="H24" s="109"/>
      <c r="I24" s="109"/>
      <c r="J24" s="99"/>
      <c r="K24" s="98"/>
      <c r="L24" s="99"/>
      <c r="M24" s="98">
        <f t="shared" si="9"/>
        <v>0</v>
      </c>
      <c r="N24" s="109"/>
      <c r="O24" s="98"/>
      <c r="P24" s="109"/>
      <c r="Q24" s="99"/>
      <c r="R24" s="99"/>
      <c r="S24" s="99"/>
      <c r="T24" s="98">
        <f>N24+O24+P24+Q24</f>
        <v>0</v>
      </c>
      <c r="U24" s="98">
        <f>T24</f>
        <v>0</v>
      </c>
      <c r="V24" s="98">
        <f>U24</f>
        <v>0</v>
      </c>
    </row>
    <row r="25" spans="1:52" ht="24.6" hidden="1" customHeight="1" x14ac:dyDescent="0.25">
      <c r="A25" s="97"/>
      <c r="B25" s="87"/>
      <c r="C25" s="97"/>
      <c r="D25" s="630"/>
      <c r="E25" s="109"/>
      <c r="F25" s="104"/>
      <c r="G25" s="104"/>
      <c r="H25" s="109"/>
      <c r="I25" s="109"/>
      <c r="J25" s="99"/>
      <c r="K25" s="98"/>
      <c r="L25" s="99"/>
      <c r="M25" s="98">
        <f t="shared" si="9"/>
        <v>0</v>
      </c>
      <c r="N25" s="109"/>
      <c r="O25" s="98"/>
      <c r="P25" s="109"/>
      <c r="Q25" s="99"/>
      <c r="R25" s="99"/>
      <c r="S25" s="99"/>
      <c r="T25" s="98">
        <f>O25</f>
        <v>0</v>
      </c>
      <c r="U25" s="98">
        <f>T25</f>
        <v>0</v>
      </c>
      <c r="V25" s="98">
        <f>U25</f>
        <v>0</v>
      </c>
    </row>
    <row r="26" spans="1:52" ht="21" customHeight="1" x14ac:dyDescent="0.25">
      <c r="A26" s="96" t="s">
        <v>136</v>
      </c>
      <c r="B26" s="97"/>
      <c r="C26" s="97"/>
      <c r="D26" s="111"/>
      <c r="E26" s="112"/>
      <c r="F26" s="113"/>
      <c r="G26" s="113"/>
      <c r="H26" s="112"/>
      <c r="I26" s="112"/>
      <c r="J26" s="101"/>
      <c r="K26" s="98"/>
      <c r="L26" s="114"/>
      <c r="M26" s="98">
        <f t="shared" si="9"/>
        <v>0</v>
      </c>
      <c r="N26" s="101">
        <f>N27</f>
        <v>16312940.530000001</v>
      </c>
      <c r="O26" s="101">
        <f>O27</f>
        <v>6556681.2249999978</v>
      </c>
      <c r="P26" s="113">
        <f>P27</f>
        <v>0</v>
      </c>
      <c r="Q26" s="807">
        <f>(Q27+Q39)</f>
        <v>10442136.120000001</v>
      </c>
      <c r="R26" s="101">
        <f>R27</f>
        <v>0</v>
      </c>
      <c r="S26" s="101">
        <f>S40</f>
        <v>1594139.04</v>
      </c>
      <c r="T26" s="101">
        <f>T27+T39+T40</f>
        <v>34905896.914999999</v>
      </c>
      <c r="U26" s="101">
        <f t="shared" ref="U26:V26" si="23">U27+U39+U40</f>
        <v>35986075.454999998</v>
      </c>
      <c r="V26" s="101">
        <f t="shared" si="23"/>
        <v>35986075.454999998</v>
      </c>
      <c r="W26" s="83">
        <v>6438122.5499999998</v>
      </c>
      <c r="X26" s="93">
        <f>W26-Q26</f>
        <v>-4004013.5700000012</v>
      </c>
      <c r="Y26" s="83">
        <f>X26/108</f>
        <v>-37074.199722222234</v>
      </c>
      <c r="AA26" s="83">
        <v>6003686.5499999998</v>
      </c>
      <c r="AB26" s="93">
        <f>AA26-Q26</f>
        <v>-4438449.5700000012</v>
      </c>
      <c r="AC26" s="83">
        <f>AB26/I39</f>
        <v>-52217.053764705895</v>
      </c>
    </row>
    <row r="27" spans="1:52" ht="69" x14ac:dyDescent="0.25">
      <c r="A27" s="92" t="s">
        <v>127</v>
      </c>
      <c r="B27" s="87" t="s">
        <v>128</v>
      </c>
      <c r="C27" s="87"/>
      <c r="D27" s="630"/>
      <c r="E27" s="109"/>
      <c r="F27" s="104"/>
      <c r="G27" s="104"/>
      <c r="H27" s="109"/>
      <c r="I27" s="109"/>
      <c r="J27" s="99"/>
      <c r="K27" s="98"/>
      <c r="L27" s="99"/>
      <c r="M27" s="98"/>
      <c r="N27" s="98">
        <f>SUM(N28:N38)</f>
        <v>16312940.530000001</v>
      </c>
      <c r="O27" s="98">
        <f t="shared" ref="O27:V27" si="24">SUM(O28:O38)</f>
        <v>6556681.2249999978</v>
      </c>
      <c r="P27" s="98">
        <f t="shared" si="24"/>
        <v>0</v>
      </c>
      <c r="Q27" s="102">
        <f>SUM(Q28:Q38)</f>
        <v>5644273.4399999995</v>
      </c>
      <c r="R27" s="98">
        <f t="shared" si="24"/>
        <v>0</v>
      </c>
      <c r="S27" s="98">
        <f t="shared" si="24"/>
        <v>0</v>
      </c>
      <c r="T27" s="102">
        <f t="shared" si="24"/>
        <v>28513895.194999997</v>
      </c>
      <c r="U27" s="98">
        <f>SUM(U28:U38)</f>
        <v>29020432.555</v>
      </c>
      <c r="V27" s="98">
        <f t="shared" si="24"/>
        <v>29020432.555</v>
      </c>
      <c r="W27" s="93">
        <v>18835786.280000001</v>
      </c>
      <c r="Y27" s="93"/>
      <c r="AA27" s="93"/>
      <c r="AE27" s="93">
        <v>9163178.5700000003</v>
      </c>
      <c r="AF27" s="93">
        <v>9360490.3800000008</v>
      </c>
      <c r="AG27" s="638">
        <f>AE27/AF27</f>
        <v>0.97892078278061323</v>
      </c>
    </row>
    <row r="28" spans="1:52" ht="40.200000000000003" customHeight="1" x14ac:dyDescent="0.25">
      <c r="A28" s="92"/>
      <c r="B28" s="97" t="s">
        <v>129</v>
      </c>
      <c r="C28" s="863" t="s">
        <v>470</v>
      </c>
      <c r="D28" s="630" t="s">
        <v>130</v>
      </c>
      <c r="E28" s="104">
        <v>0</v>
      </c>
      <c r="F28" s="580">
        <v>12</v>
      </c>
      <c r="G28" s="104">
        <v>0</v>
      </c>
      <c r="H28" s="104">
        <v>0</v>
      </c>
      <c r="I28" s="104">
        <v>0</v>
      </c>
      <c r="J28" s="99">
        <v>86493.99</v>
      </c>
      <c r="K28" s="98">
        <f>46867.01+13060.92</f>
        <v>59927.93</v>
      </c>
      <c r="L28" s="101">
        <v>72362.48</v>
      </c>
      <c r="M28" s="98">
        <f t="shared" si="9"/>
        <v>218784.40000000002</v>
      </c>
      <c r="N28" s="98">
        <f>G28*J28</f>
        <v>0</v>
      </c>
      <c r="O28" s="98">
        <f>G28*K28</f>
        <v>0</v>
      </c>
      <c r="P28" s="109"/>
      <c r="Q28" s="99">
        <f t="shared" ref="Q28:Q38" si="25">G28*L28</f>
        <v>0</v>
      </c>
      <c r="R28" s="99"/>
      <c r="S28" s="99"/>
      <c r="T28" s="98">
        <f t="shared" ref="T28:T35" si="26">SUM(N28:Q28)</f>
        <v>0</v>
      </c>
      <c r="U28" s="98">
        <f>T28</f>
        <v>0</v>
      </c>
      <c r="V28" s="98">
        <f>U28</f>
        <v>0</v>
      </c>
      <c r="X28" s="93">
        <f>W27-U26</f>
        <v>-17150289.174999997</v>
      </c>
      <c r="AE28" s="93"/>
      <c r="AF28" s="93">
        <f>AF27*AG27</f>
        <v>9163178.5700000003</v>
      </c>
      <c r="AG28" s="93"/>
    </row>
    <row r="29" spans="1:52" ht="63" customHeight="1" x14ac:dyDescent="0.25">
      <c r="A29" s="92"/>
      <c r="B29" s="97" t="s">
        <v>334</v>
      </c>
      <c r="C29" s="873"/>
      <c r="D29" s="630" t="s">
        <v>130</v>
      </c>
      <c r="E29" s="104">
        <v>0</v>
      </c>
      <c r="F29" s="580">
        <v>1</v>
      </c>
      <c r="G29" s="104">
        <v>0</v>
      </c>
      <c r="H29" s="104">
        <v>0</v>
      </c>
      <c r="I29" s="104">
        <v>0</v>
      </c>
      <c r="J29" s="99">
        <v>86493.99</v>
      </c>
      <c r="K29" s="98">
        <f>46867.01+13060.92</f>
        <v>59927.93</v>
      </c>
      <c r="L29" s="101">
        <v>72362.48</v>
      </c>
      <c r="M29" s="98">
        <f t="shared" si="9"/>
        <v>218784.40000000002</v>
      </c>
      <c r="N29" s="98">
        <f t="shared" ref="N29:N38" si="27">G29*J29</f>
        <v>0</v>
      </c>
      <c r="O29" s="98">
        <f t="shared" ref="O29:O38" si="28">G29*K29</f>
        <v>0</v>
      </c>
      <c r="P29" s="109"/>
      <c r="Q29" s="99">
        <f t="shared" si="25"/>
        <v>0</v>
      </c>
      <c r="R29" s="99"/>
      <c r="S29" s="99"/>
      <c r="T29" s="98">
        <f t="shared" si="26"/>
        <v>0</v>
      </c>
      <c r="U29" s="98">
        <v>0</v>
      </c>
      <c r="V29" s="98">
        <f>U29</f>
        <v>0</v>
      </c>
      <c r="AE29" s="93"/>
      <c r="AF29" s="93"/>
      <c r="AG29" s="93"/>
    </row>
    <row r="30" spans="1:52" ht="74.400000000000006" customHeight="1" x14ac:dyDescent="0.25">
      <c r="A30" s="92"/>
      <c r="B30" s="97" t="s">
        <v>334</v>
      </c>
      <c r="C30" s="863" t="s">
        <v>297</v>
      </c>
      <c r="D30" s="630" t="s">
        <v>130</v>
      </c>
      <c r="E30" s="104">
        <v>0</v>
      </c>
      <c r="F30" s="104">
        <v>0</v>
      </c>
      <c r="G30" s="104">
        <f t="shared" ref="G30" si="29">((E30*8)+(F30*4))/12</f>
        <v>0</v>
      </c>
      <c r="H30" s="104">
        <f>7-7</f>
        <v>0</v>
      </c>
      <c r="I30" s="104">
        <f>7-7</f>
        <v>0</v>
      </c>
      <c r="J30" s="99">
        <v>245948.56</v>
      </c>
      <c r="K30" s="98">
        <f>70240.51+13060.92*2</f>
        <v>96362.349999999991</v>
      </c>
      <c r="L30" s="101">
        <v>72362.48</v>
      </c>
      <c r="M30" s="98">
        <f t="shared" si="9"/>
        <v>414673.38999999996</v>
      </c>
      <c r="N30" s="98">
        <f t="shared" si="27"/>
        <v>0</v>
      </c>
      <c r="O30" s="98">
        <f t="shared" si="28"/>
        <v>0</v>
      </c>
      <c r="P30" s="109"/>
      <c r="Q30" s="99">
        <f t="shared" si="25"/>
        <v>0</v>
      </c>
      <c r="R30" s="99"/>
      <c r="S30" s="99"/>
      <c r="T30" s="98">
        <f t="shared" si="26"/>
        <v>0</v>
      </c>
      <c r="U30" s="98">
        <f>T30</f>
        <v>0</v>
      </c>
      <c r="V30" s="98">
        <f>U30</f>
        <v>0</v>
      </c>
      <c r="AE30" s="93"/>
      <c r="AF30" s="93"/>
      <c r="AG30" s="93"/>
    </row>
    <row r="31" spans="1:52" ht="31.2" customHeight="1" x14ac:dyDescent="0.25">
      <c r="A31" s="92"/>
      <c r="B31" s="97" t="s">
        <v>336</v>
      </c>
      <c r="C31" s="874"/>
      <c r="D31" s="630" t="s">
        <v>130</v>
      </c>
      <c r="E31" s="104">
        <v>43</v>
      </c>
      <c r="F31" s="580">
        <v>42</v>
      </c>
      <c r="G31" s="104">
        <v>47</v>
      </c>
      <c r="H31" s="104">
        <f>42+3</f>
        <v>45</v>
      </c>
      <c r="I31" s="104">
        <f>42+3</f>
        <v>45</v>
      </c>
      <c r="J31" s="99">
        <v>245948.56</v>
      </c>
      <c r="K31" s="98">
        <f>64533.72+13925.43*2</f>
        <v>92384.58</v>
      </c>
      <c r="L31" s="101">
        <v>72362.48</v>
      </c>
      <c r="M31" s="98">
        <f t="shared" si="9"/>
        <v>410695.62</v>
      </c>
      <c r="N31" s="98">
        <f>G31*J31</f>
        <v>11559582.32</v>
      </c>
      <c r="O31" s="98">
        <f>G31*K31+379882.75-203012.01+526176.14+96362.35-24010.58-245970.1-45653.73-0.57</f>
        <v>4825849.5099999988</v>
      </c>
      <c r="P31" s="109"/>
      <c r="Q31" s="99">
        <f t="shared" si="25"/>
        <v>3401036.5599999996</v>
      </c>
      <c r="R31" s="99"/>
      <c r="S31" s="99"/>
      <c r="T31" s="98">
        <f t="shared" si="26"/>
        <v>19786468.389999997</v>
      </c>
      <c r="U31" s="98">
        <f>(N31+O31)+(H31*L31)</f>
        <v>19641743.43</v>
      </c>
      <c r="V31" s="98">
        <f>(N31+O31)+(I31*L31)</f>
        <v>19641743.43</v>
      </c>
      <c r="AE31" s="93"/>
      <c r="AF31" s="93"/>
      <c r="AG31" s="93"/>
    </row>
    <row r="32" spans="1:52" ht="31.2" customHeight="1" x14ac:dyDescent="0.25">
      <c r="A32" s="481" t="s">
        <v>516</v>
      </c>
      <c r="B32" s="97" t="s">
        <v>336</v>
      </c>
      <c r="C32" s="863" t="s">
        <v>471</v>
      </c>
      <c r="D32" s="630" t="s">
        <v>130</v>
      </c>
      <c r="E32" s="104">
        <v>1</v>
      </c>
      <c r="F32" s="580">
        <f>1</f>
        <v>1</v>
      </c>
      <c r="G32" s="113">
        <v>1</v>
      </c>
      <c r="H32" s="104">
        <f>1-1</f>
        <v>0</v>
      </c>
      <c r="I32" s="104">
        <f>1-1</f>
        <v>0</v>
      </c>
      <c r="J32" s="99">
        <v>175329.95</v>
      </c>
      <c r="K32" s="98">
        <f>43062.49+13925.43*1.5</f>
        <v>63950.634999999995</v>
      </c>
      <c r="L32" s="101">
        <v>72362.48</v>
      </c>
      <c r="M32" s="98">
        <f t="shared" si="9"/>
        <v>311643.065</v>
      </c>
      <c r="N32" s="98">
        <f t="shared" si="27"/>
        <v>175329.95</v>
      </c>
      <c r="O32" s="98">
        <f>G32*K32+31535.55</f>
        <v>95486.184999999998</v>
      </c>
      <c r="P32" s="109"/>
      <c r="Q32" s="99">
        <f t="shared" si="25"/>
        <v>72362.48</v>
      </c>
      <c r="R32" s="99"/>
      <c r="S32" s="99"/>
      <c r="T32" s="98">
        <f t="shared" si="26"/>
        <v>343178.61499999999</v>
      </c>
      <c r="U32" s="98">
        <f>(N32+O32)+(H32*L32)</f>
        <v>270816.13500000001</v>
      </c>
      <c r="V32" s="98">
        <f>(N32+O32)+(I32*L32)</f>
        <v>270816.13500000001</v>
      </c>
      <c r="AE32" s="93"/>
      <c r="AF32" s="93"/>
      <c r="AG32" s="93"/>
    </row>
    <row r="33" spans="1:33" ht="30" customHeight="1" x14ac:dyDescent="0.25">
      <c r="A33" s="92"/>
      <c r="B33" s="97" t="s">
        <v>332</v>
      </c>
      <c r="C33" s="888"/>
      <c r="D33" s="630"/>
      <c r="E33" s="104">
        <v>1</v>
      </c>
      <c r="F33" s="580">
        <v>1</v>
      </c>
      <c r="G33" s="104">
        <f>5-5</f>
        <v>0</v>
      </c>
      <c r="H33" s="104">
        <v>0</v>
      </c>
      <c r="I33" s="104">
        <f>1-1</f>
        <v>0</v>
      </c>
      <c r="J33" s="99">
        <v>132713.06</v>
      </c>
      <c r="K33" s="98">
        <f>32326.86+13925.43</f>
        <v>46252.29</v>
      </c>
      <c r="L33" s="101">
        <v>72362.48</v>
      </c>
      <c r="M33" s="98">
        <f t="shared" ref="M33" si="30">J33+K33+L33</f>
        <v>251327.83000000002</v>
      </c>
      <c r="N33" s="98">
        <f t="shared" ref="N33" si="31">G33*J33</f>
        <v>0</v>
      </c>
      <c r="O33" s="98">
        <f>G33*K33</f>
        <v>0</v>
      </c>
      <c r="P33" s="109"/>
      <c r="Q33" s="99">
        <f t="shared" ref="Q33" si="32">G33*L33</f>
        <v>0</v>
      </c>
      <c r="R33" s="99"/>
      <c r="S33" s="99"/>
      <c r="T33" s="98">
        <f t="shared" ref="T33" si="33">SUM(N33:Q33)</f>
        <v>0</v>
      </c>
      <c r="U33" s="98">
        <f>(N33+O33)+(H33*L33)</f>
        <v>0</v>
      </c>
      <c r="V33" s="98">
        <f>(N33+O33)+(I33*L33)</f>
        <v>0</v>
      </c>
      <c r="AE33" s="93"/>
      <c r="AF33" s="93"/>
      <c r="AG33" s="93"/>
    </row>
    <row r="34" spans="1:33" ht="35.4" customHeight="1" x14ac:dyDescent="0.25">
      <c r="A34" s="92"/>
      <c r="B34" s="97" t="s">
        <v>129</v>
      </c>
      <c r="C34" s="888"/>
      <c r="D34" s="630" t="s">
        <v>130</v>
      </c>
      <c r="E34" s="104">
        <v>18</v>
      </c>
      <c r="F34" s="580">
        <v>4</v>
      </c>
      <c r="G34" s="104">
        <f>15-1</f>
        <v>14</v>
      </c>
      <c r="H34" s="104">
        <v>20</v>
      </c>
      <c r="I34" s="104">
        <v>20</v>
      </c>
      <c r="J34" s="99">
        <v>175329.95</v>
      </c>
      <c r="K34" s="98">
        <f>43062.49+13925.43*1.5</f>
        <v>63950.634999999995</v>
      </c>
      <c r="L34" s="101">
        <v>72362.48</v>
      </c>
      <c r="M34" s="98">
        <f t="shared" ref="M34" si="34">J34+K34+L34</f>
        <v>311643.065</v>
      </c>
      <c r="N34" s="98">
        <f t="shared" ref="N34" si="35">G34*J34</f>
        <v>2454619.3000000003</v>
      </c>
      <c r="O34" s="98">
        <f>G34*K34</f>
        <v>895308.8899999999</v>
      </c>
      <c r="P34" s="109"/>
      <c r="Q34" s="99">
        <f>G34*L34</f>
        <v>1013074.72</v>
      </c>
      <c r="R34" s="99"/>
      <c r="S34" s="99"/>
      <c r="T34" s="98">
        <f t="shared" ref="T34" si="36">SUM(N34:Q34)</f>
        <v>4363002.91</v>
      </c>
      <c r="U34" s="98">
        <f>(N34+O34)+(H34*L34)</f>
        <v>4797177.79</v>
      </c>
      <c r="V34" s="98">
        <f>(N34+O34)+(I34*L34)</f>
        <v>4797177.79</v>
      </c>
      <c r="AE34" s="93"/>
      <c r="AF34" s="93"/>
      <c r="AG34" s="93"/>
    </row>
    <row r="35" spans="1:33" ht="37.950000000000003" customHeight="1" x14ac:dyDescent="0.25">
      <c r="A35" s="92"/>
      <c r="B35" s="92" t="s">
        <v>356</v>
      </c>
      <c r="C35" s="888"/>
      <c r="D35" s="630" t="s">
        <v>130</v>
      </c>
      <c r="E35" s="104">
        <f>16-1</f>
        <v>15</v>
      </c>
      <c r="F35" s="580">
        <v>13</v>
      </c>
      <c r="G35" s="104">
        <v>16</v>
      </c>
      <c r="H35" s="104">
        <v>20</v>
      </c>
      <c r="I35" s="104">
        <v>20</v>
      </c>
      <c r="J35" s="99">
        <v>132713.06</v>
      </c>
      <c r="K35" s="98">
        <f>32326.86+13925.43</f>
        <v>46252.29</v>
      </c>
      <c r="L35" s="101">
        <v>72362.48</v>
      </c>
      <c r="M35" s="98">
        <f t="shared" si="9"/>
        <v>251327.83000000002</v>
      </c>
      <c r="N35" s="98">
        <f t="shared" si="27"/>
        <v>2123408.96</v>
      </c>
      <c r="O35" s="98">
        <f t="shared" si="28"/>
        <v>740036.64</v>
      </c>
      <c r="P35" s="109"/>
      <c r="Q35" s="99">
        <f t="shared" si="25"/>
        <v>1157799.68</v>
      </c>
      <c r="R35" s="99"/>
      <c r="S35" s="99"/>
      <c r="T35" s="98">
        <f t="shared" si="26"/>
        <v>4021245.2800000003</v>
      </c>
      <c r="U35" s="98">
        <f>(N35+O35)+(H35*L35)</f>
        <v>4310695.2</v>
      </c>
      <c r="V35" s="98">
        <f>U35</f>
        <v>4310695.2</v>
      </c>
    </row>
    <row r="36" spans="1:33" ht="25.95" customHeight="1" x14ac:dyDescent="0.25">
      <c r="A36" s="92"/>
      <c r="B36" s="87"/>
      <c r="C36" s="628"/>
      <c r="D36" s="630" t="s">
        <v>130</v>
      </c>
      <c r="E36" s="104"/>
      <c r="F36" s="580"/>
      <c r="G36" s="104">
        <v>0</v>
      </c>
      <c r="H36" s="104"/>
      <c r="I36" s="104"/>
      <c r="J36" s="99"/>
      <c r="K36" s="98">
        <f t="shared" ref="K36" si="37">25496.5+10442.34</f>
        <v>35938.839999999997</v>
      </c>
      <c r="L36" s="101">
        <v>72362.48</v>
      </c>
      <c r="M36" s="98">
        <f t="shared" si="9"/>
        <v>108301.31999999999</v>
      </c>
      <c r="N36" s="98">
        <f t="shared" si="27"/>
        <v>0</v>
      </c>
      <c r="O36" s="98">
        <f t="shared" si="28"/>
        <v>0</v>
      </c>
      <c r="P36" s="109"/>
      <c r="Q36" s="99">
        <f t="shared" si="25"/>
        <v>0</v>
      </c>
      <c r="R36" s="99"/>
      <c r="S36" s="99"/>
      <c r="T36" s="98">
        <f t="shared" ref="T36:T38" si="38">SUM(N36:Q36)</f>
        <v>0</v>
      </c>
      <c r="U36" s="106">
        <f t="shared" ref="U36:U38" si="39">(N36+O36)+(H36*L36)</f>
        <v>0</v>
      </c>
      <c r="V36" s="106">
        <f t="shared" ref="V36:V37" si="40">U36</f>
        <v>0</v>
      </c>
    </row>
    <row r="37" spans="1:33" ht="30" customHeight="1" x14ac:dyDescent="0.25">
      <c r="A37" s="92"/>
      <c r="B37" s="97" t="s">
        <v>336</v>
      </c>
      <c r="C37" s="628"/>
      <c r="D37" s="630" t="s">
        <v>130</v>
      </c>
      <c r="E37" s="104">
        <v>0</v>
      </c>
      <c r="F37" s="580">
        <f>3-3</f>
        <v>0</v>
      </c>
      <c r="G37" s="104">
        <v>0</v>
      </c>
      <c r="H37" s="104">
        <f>3-3</f>
        <v>0</v>
      </c>
      <c r="I37" s="104">
        <f>3-3</f>
        <v>0</v>
      </c>
      <c r="J37" s="99">
        <v>132713.06</v>
      </c>
      <c r="K37" s="98">
        <f>25496.5+10788.57+203012.01</f>
        <v>239297.08000000002</v>
      </c>
      <c r="L37" s="101">
        <v>72362.48</v>
      </c>
      <c r="M37" s="98">
        <f t="shared" si="9"/>
        <v>444372.62</v>
      </c>
      <c r="N37" s="98">
        <f t="shared" si="27"/>
        <v>0</v>
      </c>
      <c r="O37" s="98">
        <f>G37*K37</f>
        <v>0</v>
      </c>
      <c r="P37" s="109"/>
      <c r="Q37" s="99">
        <f t="shared" si="25"/>
        <v>0</v>
      </c>
      <c r="R37" s="99"/>
      <c r="S37" s="99"/>
      <c r="T37" s="98">
        <f t="shared" si="38"/>
        <v>0</v>
      </c>
      <c r="U37" s="106">
        <f t="shared" si="39"/>
        <v>0</v>
      </c>
      <c r="V37" s="106">
        <f t="shared" si="40"/>
        <v>0</v>
      </c>
    </row>
    <row r="38" spans="1:33" ht="28.2" customHeight="1" x14ac:dyDescent="0.25">
      <c r="A38" s="92"/>
      <c r="B38" s="97" t="s">
        <v>336</v>
      </c>
      <c r="C38" s="627"/>
      <c r="D38" s="630" t="s">
        <v>130</v>
      </c>
      <c r="E38" s="104">
        <v>0</v>
      </c>
      <c r="F38" s="580">
        <v>0</v>
      </c>
      <c r="G38" s="113">
        <v>0</v>
      </c>
      <c r="H38" s="113">
        <v>0</v>
      </c>
      <c r="I38" s="113">
        <v>0</v>
      </c>
      <c r="J38" s="99">
        <v>132713.06</v>
      </c>
      <c r="K38" s="98">
        <f>25496.5+10788.57</f>
        <v>36285.07</v>
      </c>
      <c r="L38" s="101">
        <v>72362.48</v>
      </c>
      <c r="M38" s="98">
        <f t="shared" si="9"/>
        <v>241360.61</v>
      </c>
      <c r="N38" s="98">
        <f t="shared" si="27"/>
        <v>0</v>
      </c>
      <c r="O38" s="98">
        <f t="shared" si="28"/>
        <v>0</v>
      </c>
      <c r="P38" s="109"/>
      <c r="Q38" s="99">
        <f t="shared" si="25"/>
        <v>0</v>
      </c>
      <c r="R38" s="99"/>
      <c r="S38" s="99"/>
      <c r="T38" s="98">
        <f t="shared" si="38"/>
        <v>0</v>
      </c>
      <c r="U38" s="106">
        <f t="shared" si="39"/>
        <v>0</v>
      </c>
      <c r="V38" s="372">
        <v>0</v>
      </c>
    </row>
    <row r="39" spans="1:33" ht="63.6" customHeight="1" x14ac:dyDescent="0.25">
      <c r="A39" s="92" t="s">
        <v>133</v>
      </c>
      <c r="B39" s="97" t="s">
        <v>137</v>
      </c>
      <c r="C39" s="97" t="s">
        <v>54</v>
      </c>
      <c r="D39" s="630" t="s">
        <v>130</v>
      </c>
      <c r="E39" s="113">
        <f>E28+E29+E30+E31+E35+E38+E37+E32+E34+E33</f>
        <v>78</v>
      </c>
      <c r="F39" s="674">
        <f t="shared" ref="F39:I39" si="41">F28+F29+F30+F31+F35+F38+F37+F32+F34+F33</f>
        <v>74</v>
      </c>
      <c r="G39" s="113">
        <f>G28+G29+G30+G31+G35+G38+G37+G32+G34+G33</f>
        <v>78</v>
      </c>
      <c r="H39" s="113">
        <f t="shared" si="41"/>
        <v>85</v>
      </c>
      <c r="I39" s="113">
        <f t="shared" si="41"/>
        <v>85</v>
      </c>
      <c r="J39" s="99">
        <v>0</v>
      </c>
      <c r="K39" s="99">
        <v>0</v>
      </c>
      <c r="L39" s="107">
        <f>133873.54-72362.48</f>
        <v>61511.060000000012</v>
      </c>
      <c r="M39" s="99">
        <f>J39+K39+L39</f>
        <v>61511.060000000012</v>
      </c>
      <c r="N39" s="99">
        <f>G39*J39</f>
        <v>0</v>
      </c>
      <c r="O39" s="99">
        <f>G39*K39</f>
        <v>0</v>
      </c>
      <c r="P39" s="105">
        <f t="shared" ref="P39:R39" si="42">P28+P29+P30+P31+P35+P38+P37</f>
        <v>0</v>
      </c>
      <c r="Q39" s="107">
        <f>G39*L39</f>
        <v>4797862.6800000006</v>
      </c>
      <c r="R39" s="108">
        <f t="shared" si="42"/>
        <v>0</v>
      </c>
      <c r="S39" s="108"/>
      <c r="T39" s="102">
        <f>SUM(N39:Q39)</f>
        <v>4797862.6800000006</v>
      </c>
      <c r="U39" s="101">
        <f>H39*L39</f>
        <v>5228440.1000000015</v>
      </c>
      <c r="V39" s="101">
        <f>I39*L39</f>
        <v>5228440.1000000015</v>
      </c>
    </row>
    <row r="40" spans="1:33" ht="27" customHeight="1" x14ac:dyDescent="0.25">
      <c r="A40" s="484" t="s">
        <v>468</v>
      </c>
      <c r="B40" s="97" t="s">
        <v>137</v>
      </c>
      <c r="C40" s="97" t="s">
        <v>135</v>
      </c>
      <c r="D40" s="630"/>
      <c r="E40" s="109"/>
      <c r="F40" s="104"/>
      <c r="G40" s="113">
        <f>G39-G32+1</f>
        <v>78</v>
      </c>
      <c r="H40" s="113">
        <f>H39-H32</f>
        <v>85</v>
      </c>
      <c r="I40" s="113">
        <f>I39-I38</f>
        <v>85</v>
      </c>
      <c r="J40" s="99"/>
      <c r="K40" s="98"/>
      <c r="L40" s="107">
        <f>2542*12*0.67</f>
        <v>20437.68</v>
      </c>
      <c r="M40" s="98">
        <f t="shared" si="9"/>
        <v>20437.68</v>
      </c>
      <c r="N40" s="109"/>
      <c r="O40" s="98"/>
      <c r="P40" s="109"/>
      <c r="Q40" s="99">
        <f>G40*L40</f>
        <v>1594139.04</v>
      </c>
      <c r="R40" s="99"/>
      <c r="S40" s="107">
        <f>G40*L40</f>
        <v>1594139.04</v>
      </c>
      <c r="T40" s="102">
        <f>S40</f>
        <v>1594139.04</v>
      </c>
      <c r="U40" s="102">
        <f>H40*L40</f>
        <v>1737202.8</v>
      </c>
      <c r="V40" s="102">
        <f>I40*L40</f>
        <v>1737202.8</v>
      </c>
    </row>
    <row r="41" spans="1:33" ht="22.2" customHeight="1" x14ac:dyDescent="0.25">
      <c r="A41" s="111" t="s">
        <v>141</v>
      </c>
      <c r="B41" s="96"/>
      <c r="C41" s="96"/>
      <c r="D41" s="111"/>
      <c r="E41" s="112"/>
      <c r="F41" s="113"/>
      <c r="G41" s="113"/>
      <c r="H41" s="112"/>
      <c r="I41" s="112"/>
      <c r="J41" s="101"/>
      <c r="K41" s="98"/>
      <c r="L41" s="101"/>
      <c r="M41" s="98">
        <f t="shared" si="9"/>
        <v>0</v>
      </c>
      <c r="N41" s="101">
        <f>N42</f>
        <v>17688145.350000001</v>
      </c>
      <c r="O41" s="101">
        <f>O42</f>
        <v>6840265.2400000002</v>
      </c>
      <c r="P41" s="101"/>
      <c r="Q41" s="807">
        <f>Q42+Q53</f>
        <v>12851858.84</v>
      </c>
      <c r="R41" s="101"/>
      <c r="S41" s="101">
        <f>S54</f>
        <v>1962017.28</v>
      </c>
      <c r="T41" s="101">
        <f>T42+T53+T54</f>
        <v>39342286.710000001</v>
      </c>
      <c r="U41" s="102">
        <f>U42+U53+U54</f>
        <v>39342287.710000001</v>
      </c>
      <c r="V41" s="102">
        <f>V42+V53+V54</f>
        <v>39342287.710000001</v>
      </c>
      <c r="W41" s="115">
        <v>10231531.529999999</v>
      </c>
      <c r="X41" s="93">
        <f>W41-Q41</f>
        <v>-2620327.3100000005</v>
      </c>
      <c r="Y41" s="83">
        <f>X41/G53</f>
        <v>-27295.07614583334</v>
      </c>
      <c r="AA41" s="83">
        <v>10354392.529999999</v>
      </c>
      <c r="AB41" s="93">
        <f>AA41-Q41</f>
        <v>-2497466.3100000005</v>
      </c>
      <c r="AC41" s="83">
        <f>AB41/I53</f>
        <v>-25747.075360824747</v>
      </c>
    </row>
    <row r="42" spans="1:33" ht="70.95" customHeight="1" x14ac:dyDescent="0.25">
      <c r="A42" s="92" t="s">
        <v>127</v>
      </c>
      <c r="B42" s="87" t="s">
        <v>128</v>
      </c>
      <c r="C42" s="87"/>
      <c r="D42" s="630"/>
      <c r="E42" s="109"/>
      <c r="F42" s="104"/>
      <c r="G42" s="104"/>
      <c r="H42" s="109"/>
      <c r="I42" s="109"/>
      <c r="J42" s="99"/>
      <c r="K42" s="98"/>
      <c r="L42" s="99"/>
      <c r="M42" s="98"/>
      <c r="N42" s="98">
        <f>SUM(N43:N52)</f>
        <v>17688145.350000001</v>
      </c>
      <c r="O42" s="98">
        <f>SUM(O43:O52)</f>
        <v>6840265.2400000002</v>
      </c>
      <c r="P42" s="109"/>
      <c r="Q42" s="101">
        <f>SUM(Q43:Q49)-1</f>
        <v>6946797.0800000001</v>
      </c>
      <c r="R42" s="99"/>
      <c r="S42" s="99"/>
      <c r="T42" s="102">
        <f>SUM(T43:T52)-1</f>
        <v>31475207.670000002</v>
      </c>
      <c r="U42" s="98">
        <f>SUM(U43:U52)</f>
        <v>31475208.670000002</v>
      </c>
      <c r="V42" s="98">
        <f>SUM(V43:V52)</f>
        <v>31475208.670000002</v>
      </c>
      <c r="W42" s="93">
        <v>29143419.530000001</v>
      </c>
      <c r="X42" s="93"/>
      <c r="AA42" s="93">
        <f>29143419.53+U54</f>
        <v>31105436.810000002</v>
      </c>
      <c r="AB42" s="93">
        <f>U41-AA42</f>
        <v>8236850.8999999985</v>
      </c>
    </row>
    <row r="43" spans="1:33" ht="45" customHeight="1" x14ac:dyDescent="0.25">
      <c r="A43" s="92"/>
      <c r="B43" s="97" t="s">
        <v>129</v>
      </c>
      <c r="C43" s="863" t="s">
        <v>298</v>
      </c>
      <c r="D43" s="630" t="s">
        <v>130</v>
      </c>
      <c r="E43" s="104">
        <f>16+1</f>
        <v>17</v>
      </c>
      <c r="F43" s="580">
        <v>12</v>
      </c>
      <c r="G43" s="104">
        <v>13</v>
      </c>
      <c r="H43" s="104">
        <v>13</v>
      </c>
      <c r="I43" s="104">
        <v>13</v>
      </c>
      <c r="J43" s="99">
        <v>86493.99</v>
      </c>
      <c r="K43" s="98">
        <f>43062.49+13925.43</f>
        <v>56987.92</v>
      </c>
      <c r="L43" s="101">
        <v>72362.48</v>
      </c>
      <c r="M43" s="98">
        <f t="shared" si="9"/>
        <v>215844.39</v>
      </c>
      <c r="N43" s="98">
        <f t="shared" ref="N43:N49" si="43">G43*J43</f>
        <v>1124421.8700000001</v>
      </c>
      <c r="O43" s="98">
        <f>G43*K43</f>
        <v>740842.96</v>
      </c>
      <c r="P43" s="109"/>
      <c r="Q43" s="99">
        <f>G43*L43</f>
        <v>940712.24</v>
      </c>
      <c r="R43" s="99"/>
      <c r="S43" s="99"/>
      <c r="T43" s="98">
        <f t="shared" ref="T43:T49" si="44">SUM(N43:Q43)</f>
        <v>2805977.0700000003</v>
      </c>
      <c r="U43" s="98">
        <f t="shared" ref="U43:V53" si="45">T43</f>
        <v>2805977.0700000003</v>
      </c>
      <c r="V43" s="98">
        <f t="shared" si="45"/>
        <v>2805977.0700000003</v>
      </c>
      <c r="X43" s="93">
        <f>W42-U41</f>
        <v>-10198868.18</v>
      </c>
    </row>
    <row r="44" spans="1:33" ht="55.95" customHeight="1" x14ac:dyDescent="0.25">
      <c r="A44" s="92"/>
      <c r="B44" s="97" t="s">
        <v>338</v>
      </c>
      <c r="C44" s="873"/>
      <c r="D44" s="630" t="s">
        <v>130</v>
      </c>
      <c r="E44" s="104">
        <v>1</v>
      </c>
      <c r="F44" s="580">
        <v>0</v>
      </c>
      <c r="G44" s="104">
        <v>0</v>
      </c>
      <c r="H44" s="104">
        <v>0</v>
      </c>
      <c r="I44" s="104">
        <v>0</v>
      </c>
      <c r="J44" s="99">
        <v>86493.99</v>
      </c>
      <c r="K44" s="98">
        <f>43062.49+13925.43</f>
        <v>56987.92</v>
      </c>
      <c r="L44" s="101">
        <v>72362.48</v>
      </c>
      <c r="M44" s="98">
        <f t="shared" ref="M44" si="46">J44+K44+L44</f>
        <v>215844.39</v>
      </c>
      <c r="N44" s="98">
        <f t="shared" si="43"/>
        <v>0</v>
      </c>
      <c r="O44" s="98">
        <f>G44*K44</f>
        <v>0</v>
      </c>
      <c r="P44" s="109"/>
      <c r="Q44" s="99">
        <f>G44*L44</f>
        <v>0</v>
      </c>
      <c r="R44" s="99"/>
      <c r="S44" s="99"/>
      <c r="T44" s="98">
        <f t="shared" si="44"/>
        <v>0</v>
      </c>
      <c r="U44" s="98">
        <f t="shared" ref="U44" si="47">T44</f>
        <v>0</v>
      </c>
      <c r="V44" s="98">
        <f t="shared" ref="V44" si="48">U44</f>
        <v>0</v>
      </c>
      <c r="X44" s="93"/>
    </row>
    <row r="45" spans="1:33" ht="36" customHeight="1" x14ac:dyDescent="0.25">
      <c r="A45" s="481" t="s">
        <v>515</v>
      </c>
      <c r="B45" s="97" t="s">
        <v>337</v>
      </c>
      <c r="C45" s="863" t="s">
        <v>448</v>
      </c>
      <c r="D45" s="630" t="s">
        <v>130</v>
      </c>
      <c r="E45" s="104">
        <f>3+1</f>
        <v>4</v>
      </c>
      <c r="F45" s="580">
        <v>5</v>
      </c>
      <c r="G45" s="113">
        <v>5</v>
      </c>
      <c r="H45" s="104">
        <v>5</v>
      </c>
      <c r="I45" s="104">
        <v>5</v>
      </c>
      <c r="J45" s="99">
        <v>245948.56</v>
      </c>
      <c r="K45" s="98">
        <f>64533.72+13925.43*2</f>
        <v>92384.58</v>
      </c>
      <c r="L45" s="101">
        <v>72362.48</v>
      </c>
      <c r="M45" s="98">
        <f t="shared" si="9"/>
        <v>410695.62</v>
      </c>
      <c r="N45" s="98">
        <f t="shared" si="43"/>
        <v>1229742.8</v>
      </c>
      <c r="O45" s="98">
        <f>G45*K45+79092.72</f>
        <v>541015.62</v>
      </c>
      <c r="P45" s="109"/>
      <c r="Q45" s="99">
        <f>G45*L45</f>
        <v>361812.39999999997</v>
      </c>
      <c r="R45" s="99"/>
      <c r="S45" s="99"/>
      <c r="T45" s="98">
        <f t="shared" si="44"/>
        <v>2132570.8199999998</v>
      </c>
      <c r="U45" s="98">
        <f t="shared" si="45"/>
        <v>2132570.8199999998</v>
      </c>
      <c r="V45" s="98">
        <f t="shared" si="45"/>
        <v>2132570.8199999998</v>
      </c>
    </row>
    <row r="46" spans="1:33" ht="69" customHeight="1" x14ac:dyDescent="0.25">
      <c r="A46" s="92"/>
      <c r="B46" s="97" t="s">
        <v>336</v>
      </c>
      <c r="C46" s="873"/>
      <c r="D46" s="630" t="s">
        <v>130</v>
      </c>
      <c r="E46" s="104">
        <v>42</v>
      </c>
      <c r="F46" s="580">
        <v>36</v>
      </c>
      <c r="G46" s="104">
        <v>44</v>
      </c>
      <c r="H46" s="104">
        <v>44</v>
      </c>
      <c r="I46" s="104">
        <v>44</v>
      </c>
      <c r="J46" s="99">
        <v>245948.56</v>
      </c>
      <c r="K46" s="98">
        <f>64533.72+13925.43*2</f>
        <v>92384.58</v>
      </c>
      <c r="L46" s="101">
        <v>72362.48</v>
      </c>
      <c r="M46" s="98">
        <f t="shared" si="9"/>
        <v>410695.62</v>
      </c>
      <c r="N46" s="98">
        <f>G46*J46</f>
        <v>10821736.640000001</v>
      </c>
      <c r="O46" s="98">
        <f>G46*K46-79092.72+334957.17+41919.83-376877</f>
        <v>3985828.8</v>
      </c>
      <c r="P46" s="109"/>
      <c r="Q46" s="99">
        <f t="shared" ref="Q46:Q49" si="49">G46*L46</f>
        <v>3183949.1199999996</v>
      </c>
      <c r="R46" s="99"/>
      <c r="S46" s="99"/>
      <c r="T46" s="98">
        <f t="shared" si="44"/>
        <v>17991514.560000002</v>
      </c>
      <c r="U46" s="98">
        <f t="shared" si="45"/>
        <v>17991514.560000002</v>
      </c>
      <c r="V46" s="98">
        <f t="shared" si="45"/>
        <v>17991514.560000002</v>
      </c>
    </row>
    <row r="47" spans="1:33" ht="42" customHeight="1" x14ac:dyDescent="0.25">
      <c r="A47" s="92"/>
      <c r="B47" s="97" t="s">
        <v>337</v>
      </c>
      <c r="C47" s="891" t="s">
        <v>611</v>
      </c>
      <c r="D47" s="630" t="s">
        <v>130</v>
      </c>
      <c r="E47" s="104">
        <v>8</v>
      </c>
      <c r="F47" s="580">
        <v>7</v>
      </c>
      <c r="G47" s="104">
        <v>0</v>
      </c>
      <c r="H47" s="104">
        <v>0</v>
      </c>
      <c r="I47" s="104">
        <v>0</v>
      </c>
      <c r="J47" s="99">
        <v>132713.06</v>
      </c>
      <c r="K47" s="98">
        <f>32326.86+13925.43*1</f>
        <v>46252.29</v>
      </c>
      <c r="L47" s="101">
        <v>72362.48</v>
      </c>
      <c r="M47" s="98">
        <f t="shared" si="9"/>
        <v>251327.83000000002</v>
      </c>
      <c r="N47" s="98">
        <f t="shared" si="43"/>
        <v>0</v>
      </c>
      <c r="O47" s="98">
        <f t="shared" ref="O47" si="50">G47*K47</f>
        <v>0</v>
      </c>
      <c r="P47" s="109"/>
      <c r="Q47" s="99">
        <f t="shared" si="49"/>
        <v>0</v>
      </c>
      <c r="R47" s="99"/>
      <c r="S47" s="99"/>
      <c r="T47" s="98">
        <f t="shared" si="44"/>
        <v>0</v>
      </c>
      <c r="U47" s="98">
        <f t="shared" si="45"/>
        <v>0</v>
      </c>
      <c r="V47" s="98">
        <f t="shared" si="45"/>
        <v>0</v>
      </c>
    </row>
    <row r="48" spans="1:33" ht="42" customHeight="1" x14ac:dyDescent="0.25">
      <c r="A48" s="92"/>
      <c r="B48" s="97" t="s">
        <v>129</v>
      </c>
      <c r="C48" s="892"/>
      <c r="D48" s="630" t="s">
        <v>130</v>
      </c>
      <c r="E48" s="104"/>
      <c r="F48" s="580"/>
      <c r="G48" s="104">
        <v>0</v>
      </c>
      <c r="H48" s="104">
        <v>0</v>
      </c>
      <c r="I48" s="104">
        <v>0</v>
      </c>
      <c r="J48" s="99">
        <v>132713.06</v>
      </c>
      <c r="K48" s="98">
        <f t="shared" ref="K48:K49" si="51">32326.86+13925.43*1</f>
        <v>46252.29</v>
      </c>
      <c r="L48" s="101">
        <v>72363.48</v>
      </c>
      <c r="M48" s="98">
        <f t="shared" ref="M48" si="52">J48+K48+L48</f>
        <v>251328.83000000002</v>
      </c>
      <c r="N48" s="98">
        <f t="shared" ref="N48" si="53">G48*J48</f>
        <v>0</v>
      </c>
      <c r="O48" s="98">
        <f t="shared" ref="O48" si="54">G48*K48</f>
        <v>0</v>
      </c>
      <c r="P48" s="109"/>
      <c r="Q48" s="99">
        <f t="shared" ref="Q48" si="55">G48*L48</f>
        <v>0</v>
      </c>
      <c r="R48" s="99"/>
      <c r="S48" s="99"/>
      <c r="T48" s="98">
        <f t="shared" ref="T48" si="56">SUM(N48:Q48)</f>
        <v>0</v>
      </c>
      <c r="U48" s="98">
        <f t="shared" ref="U48" si="57">T48</f>
        <v>0</v>
      </c>
      <c r="V48" s="98">
        <f t="shared" ref="V48" si="58">U48</f>
        <v>0</v>
      </c>
    </row>
    <row r="49" spans="1:32" ht="69" customHeight="1" x14ac:dyDescent="0.25">
      <c r="A49" s="92"/>
      <c r="B49" s="97" t="s">
        <v>338</v>
      </c>
      <c r="C49" s="893"/>
      <c r="D49" s="630" t="s">
        <v>130</v>
      </c>
      <c r="E49" s="104">
        <v>44</v>
      </c>
      <c r="F49" s="580">
        <v>37</v>
      </c>
      <c r="G49" s="113">
        <f>35-1</f>
        <v>34</v>
      </c>
      <c r="H49" s="104">
        <v>35</v>
      </c>
      <c r="I49" s="104">
        <v>35</v>
      </c>
      <c r="J49" s="99">
        <v>132713.06</v>
      </c>
      <c r="K49" s="98">
        <f t="shared" si="51"/>
        <v>46252.29</v>
      </c>
      <c r="L49" s="101">
        <v>72362.48</v>
      </c>
      <c r="M49" s="98">
        <f t="shared" si="9"/>
        <v>251327.83000000002</v>
      </c>
      <c r="N49" s="98">
        <f t="shared" si="43"/>
        <v>4512244.04</v>
      </c>
      <c r="O49" s="98">
        <f>G49*K49</f>
        <v>1572577.86</v>
      </c>
      <c r="P49" s="109"/>
      <c r="Q49" s="99">
        <f t="shared" si="49"/>
        <v>2460324.3199999998</v>
      </c>
      <c r="R49" s="99"/>
      <c r="S49" s="99"/>
      <c r="T49" s="98">
        <f t="shared" si="44"/>
        <v>8545146.2200000007</v>
      </c>
      <c r="U49" s="98">
        <f t="shared" si="45"/>
        <v>8545146.2200000007</v>
      </c>
      <c r="V49" s="98">
        <f t="shared" si="45"/>
        <v>8545146.2200000007</v>
      </c>
    </row>
    <row r="50" spans="1:32" s="84" customFormat="1" ht="61.2" hidden="1" customHeight="1" x14ac:dyDescent="0.25">
      <c r="A50" s="630"/>
      <c r="B50" s="111"/>
      <c r="C50" s="630" t="s">
        <v>44</v>
      </c>
      <c r="D50" s="630"/>
      <c r="E50" s="104"/>
      <c r="F50" s="580"/>
      <c r="G50" s="104"/>
      <c r="H50" s="104"/>
      <c r="I50" s="104"/>
      <c r="J50" s="99"/>
      <c r="K50" s="98">
        <f t="shared" ref="K50:K65" si="59">(12142.68*2.133649)</f>
        <v>25908.217039320003</v>
      </c>
      <c r="L50" s="99"/>
      <c r="M50" s="98">
        <f t="shared" si="9"/>
        <v>25908.217039320003</v>
      </c>
      <c r="N50" s="109"/>
      <c r="O50" s="98"/>
      <c r="P50" s="109"/>
      <c r="Q50" s="99"/>
      <c r="R50" s="99"/>
      <c r="S50" s="99"/>
      <c r="T50" s="98">
        <f>O50</f>
        <v>0</v>
      </c>
      <c r="U50" s="98">
        <f t="shared" si="45"/>
        <v>0</v>
      </c>
      <c r="V50" s="98">
        <f t="shared" si="45"/>
        <v>0</v>
      </c>
      <c r="AD50" s="83"/>
      <c r="AE50" s="83"/>
      <c r="AF50" s="83"/>
    </row>
    <row r="51" spans="1:32" ht="61.2" hidden="1" customHeight="1" x14ac:dyDescent="0.25">
      <c r="A51" s="92"/>
      <c r="B51" s="87"/>
      <c r="C51" s="97" t="s">
        <v>44</v>
      </c>
      <c r="D51" s="630"/>
      <c r="E51" s="104"/>
      <c r="F51" s="580"/>
      <c r="G51" s="104"/>
      <c r="H51" s="104"/>
      <c r="I51" s="104"/>
      <c r="J51" s="99"/>
      <c r="K51" s="98">
        <f t="shared" si="59"/>
        <v>25908.217039320003</v>
      </c>
      <c r="L51" s="99"/>
      <c r="M51" s="98">
        <f t="shared" si="9"/>
        <v>25908.217039320003</v>
      </c>
      <c r="N51" s="109"/>
      <c r="O51" s="98"/>
      <c r="P51" s="109"/>
      <c r="Q51" s="99"/>
      <c r="R51" s="99"/>
      <c r="S51" s="99"/>
      <c r="T51" s="98">
        <f>N51</f>
        <v>0</v>
      </c>
      <c r="U51" s="98">
        <f t="shared" si="45"/>
        <v>0</v>
      </c>
      <c r="V51" s="98">
        <f t="shared" si="45"/>
        <v>0</v>
      </c>
    </row>
    <row r="52" spans="1:32" ht="61.2" hidden="1" customHeight="1" x14ac:dyDescent="0.25">
      <c r="A52" s="92"/>
      <c r="B52" s="87"/>
      <c r="C52" s="97"/>
      <c r="D52" s="630"/>
      <c r="E52" s="104"/>
      <c r="F52" s="580"/>
      <c r="G52" s="104"/>
      <c r="H52" s="104"/>
      <c r="I52" s="104"/>
      <c r="J52" s="99"/>
      <c r="K52" s="98">
        <f t="shared" si="59"/>
        <v>25908.217039320003</v>
      </c>
      <c r="L52" s="99"/>
      <c r="M52" s="98">
        <f t="shared" si="9"/>
        <v>25908.217039320003</v>
      </c>
      <c r="N52" s="109"/>
      <c r="O52" s="98"/>
      <c r="P52" s="109"/>
      <c r="Q52" s="99"/>
      <c r="R52" s="99"/>
      <c r="S52" s="99"/>
      <c r="T52" s="98">
        <f>O52</f>
        <v>0</v>
      </c>
      <c r="U52" s="98">
        <f t="shared" si="45"/>
        <v>0</v>
      </c>
      <c r="V52" s="98">
        <f t="shared" si="45"/>
        <v>0</v>
      </c>
    </row>
    <row r="53" spans="1:32" ht="61.2" customHeight="1" x14ac:dyDescent="0.25">
      <c r="A53" s="92" t="s">
        <v>133</v>
      </c>
      <c r="B53" s="97" t="s">
        <v>134</v>
      </c>
      <c r="C53" s="97" t="s">
        <v>54</v>
      </c>
      <c r="D53" s="630" t="s">
        <v>130</v>
      </c>
      <c r="E53" s="104">
        <f>E49+E47+E46+E45+E43+E44</f>
        <v>116</v>
      </c>
      <c r="F53" s="674">
        <f>F49+F47+F46+F45+F43+F44</f>
        <v>97</v>
      </c>
      <c r="G53" s="113">
        <f>G49+G48+G47+G46+G45+G43+G44</f>
        <v>96</v>
      </c>
      <c r="H53" s="104">
        <f>H49+H48+H47+H46+H45+H43+H44</f>
        <v>97</v>
      </c>
      <c r="I53" s="104">
        <f>I49+I48+I47+I46+I45+I43+I44</f>
        <v>97</v>
      </c>
      <c r="J53" s="99">
        <v>0</v>
      </c>
      <c r="K53" s="98">
        <v>0</v>
      </c>
      <c r="L53" s="101">
        <f>61511.06</f>
        <v>61511.06</v>
      </c>
      <c r="M53" s="98">
        <f t="shared" si="9"/>
        <v>61511.06</v>
      </c>
      <c r="N53" s="98">
        <f>G53*J53</f>
        <v>0</v>
      </c>
      <c r="O53" s="98">
        <f>G53*K53</f>
        <v>0</v>
      </c>
      <c r="P53" s="109"/>
      <c r="Q53" s="107">
        <f>G53*L53</f>
        <v>5905061.7599999998</v>
      </c>
      <c r="R53" s="99"/>
      <c r="S53" s="99"/>
      <c r="T53" s="102">
        <f>SUM(N53:Q53)</f>
        <v>5905061.7599999998</v>
      </c>
      <c r="U53" s="98">
        <f t="shared" si="45"/>
        <v>5905061.7599999998</v>
      </c>
      <c r="V53" s="98">
        <f t="shared" si="45"/>
        <v>5905061.7599999998</v>
      </c>
    </row>
    <row r="54" spans="1:32" ht="29.4" customHeight="1" x14ac:dyDescent="0.25">
      <c r="A54" s="484" t="s">
        <v>517</v>
      </c>
      <c r="B54" s="97" t="s">
        <v>134</v>
      </c>
      <c r="C54" s="97" t="s">
        <v>135</v>
      </c>
      <c r="D54" s="630"/>
      <c r="E54" s="109"/>
      <c r="F54" s="104"/>
      <c r="G54" s="113">
        <f>G53</f>
        <v>96</v>
      </c>
      <c r="H54" s="113">
        <f>H53</f>
        <v>97</v>
      </c>
      <c r="I54" s="113">
        <f>I53</f>
        <v>97</v>
      </c>
      <c r="J54" s="99"/>
      <c r="K54" s="98"/>
      <c r="L54" s="101">
        <v>20437.68</v>
      </c>
      <c r="M54" s="98">
        <f t="shared" si="9"/>
        <v>20437.68</v>
      </c>
      <c r="N54" s="109"/>
      <c r="O54" s="98"/>
      <c r="P54" s="109"/>
      <c r="Q54" s="99"/>
      <c r="R54" s="99"/>
      <c r="S54" s="107">
        <f>G54*L54</f>
        <v>1962017.28</v>
      </c>
      <c r="T54" s="102">
        <f>S54</f>
        <v>1962017.28</v>
      </c>
      <c r="U54" s="98">
        <f>T54</f>
        <v>1962017.28</v>
      </c>
      <c r="V54" s="98">
        <f>U54</f>
        <v>1962017.28</v>
      </c>
    </row>
    <row r="55" spans="1:32" ht="29.4" customHeight="1" x14ac:dyDescent="0.25">
      <c r="A55" s="96" t="s">
        <v>142</v>
      </c>
      <c r="B55" s="96"/>
      <c r="C55" s="96"/>
      <c r="D55" s="111"/>
      <c r="E55" s="112"/>
      <c r="F55" s="113"/>
      <c r="G55" s="113"/>
      <c r="H55" s="112"/>
      <c r="I55" s="112"/>
      <c r="J55" s="101"/>
      <c r="K55" s="98"/>
      <c r="L55" s="101"/>
      <c r="M55" s="98">
        <f t="shared" si="9"/>
        <v>0</v>
      </c>
      <c r="N55" s="101">
        <f>N56</f>
        <v>12227906.460000001</v>
      </c>
      <c r="O55" s="101">
        <f>O56</f>
        <v>4824935.76</v>
      </c>
      <c r="P55" s="113">
        <f>P56</f>
        <v>0</v>
      </c>
      <c r="Q55" s="807">
        <f>Q56+Q66</f>
        <v>11646997.98</v>
      </c>
      <c r="R55" s="101">
        <f>R56</f>
        <v>0</v>
      </c>
      <c r="S55" s="101">
        <f>S67</f>
        <v>1778078.16</v>
      </c>
      <c r="T55" s="101">
        <f>T56+T66+T67</f>
        <v>30477918.359999996</v>
      </c>
      <c r="U55" s="101">
        <f>U56+U66+U67</f>
        <v>30477918.359999996</v>
      </c>
      <c r="V55" s="101">
        <f>V56+V66+V67</f>
        <v>30477918.359999996</v>
      </c>
      <c r="W55" s="83">
        <v>5581141.5300000003</v>
      </c>
      <c r="X55" s="93">
        <f>W55-Q55</f>
        <v>-6065856.4500000002</v>
      </c>
      <c r="Y55" s="83">
        <f>X55/G66</f>
        <v>-69722.487931034484</v>
      </c>
      <c r="AA55" s="83">
        <v>5552393.5300000003</v>
      </c>
      <c r="AB55" s="93">
        <f>AA55-Q55</f>
        <v>-6094604.4500000002</v>
      </c>
    </row>
    <row r="56" spans="1:32" ht="69.599999999999994" customHeight="1" x14ac:dyDescent="0.25">
      <c r="A56" s="92" t="s">
        <v>127</v>
      </c>
      <c r="B56" s="87" t="s">
        <v>128</v>
      </c>
      <c r="C56" s="87"/>
      <c r="D56" s="630"/>
      <c r="E56" s="109"/>
      <c r="F56" s="104"/>
      <c r="G56" s="104"/>
      <c r="H56" s="109"/>
      <c r="I56" s="109"/>
      <c r="J56" s="99"/>
      <c r="K56" s="98"/>
      <c r="L56" s="99"/>
      <c r="M56" s="98"/>
      <c r="N56" s="98">
        <f>SUM(N57:N65)</f>
        <v>12227906.460000001</v>
      </c>
      <c r="O56" s="98">
        <f>SUM(O57:O65)</f>
        <v>4824935.76</v>
      </c>
      <c r="P56" s="116"/>
      <c r="Q56" s="101">
        <f>SUM(Q57:Q63)</f>
        <v>6295535.7599999998</v>
      </c>
      <c r="R56" s="99"/>
      <c r="S56" s="99"/>
      <c r="T56" s="102">
        <f>SUM(T57:T65)</f>
        <v>23348377.979999997</v>
      </c>
      <c r="U56" s="98">
        <f t="shared" ref="U56:V56" si="60">SUM(U57:U65)</f>
        <v>23348377.979999997</v>
      </c>
      <c r="V56" s="98">
        <f t="shared" si="60"/>
        <v>23348377.979999997</v>
      </c>
      <c r="W56" s="93">
        <v>14544322.529999999</v>
      </c>
      <c r="AA56" s="93">
        <f>14544322.53+U67</f>
        <v>16322400.689999999</v>
      </c>
      <c r="AB56" s="93">
        <f>U55-AA56</f>
        <v>14155517.669999996</v>
      </c>
    </row>
    <row r="57" spans="1:32" ht="99.6" customHeight="1" x14ac:dyDescent="0.25">
      <c r="A57" s="92"/>
      <c r="B57" s="92" t="s">
        <v>143</v>
      </c>
      <c r="C57" s="679" t="s">
        <v>298</v>
      </c>
      <c r="D57" s="630" t="s">
        <v>130</v>
      </c>
      <c r="E57" s="104">
        <v>0</v>
      </c>
      <c r="F57" s="580">
        <v>14</v>
      </c>
      <c r="G57" s="113">
        <v>0</v>
      </c>
      <c r="H57" s="104">
        <v>0</v>
      </c>
      <c r="I57" s="104">
        <v>0</v>
      </c>
      <c r="J57" s="99">
        <v>86493.99</v>
      </c>
      <c r="K57" s="98">
        <f>46867.01+15649.51*1</f>
        <v>62516.520000000004</v>
      </c>
      <c r="L57" s="101">
        <v>72362.48</v>
      </c>
      <c r="M57" s="98">
        <f t="shared" ref="M57:M58" si="61">J57+K57+L57</f>
        <v>221372.99</v>
      </c>
      <c r="N57" s="98">
        <f t="shared" ref="N57:N63" si="62">G57*J57</f>
        <v>0</v>
      </c>
      <c r="O57" s="98">
        <f>G57*K57</f>
        <v>0</v>
      </c>
      <c r="P57" s="109"/>
      <c r="Q57" s="99">
        <f>G57*L57</f>
        <v>0</v>
      </c>
      <c r="R57" s="99"/>
      <c r="S57" s="99"/>
      <c r="T57" s="98">
        <f t="shared" ref="T57:T63" si="63">SUM(N57:Q57)</f>
        <v>0</v>
      </c>
      <c r="U57" s="98">
        <f t="shared" ref="U57:U58" si="64">T57</f>
        <v>0</v>
      </c>
      <c r="V57" s="98">
        <f t="shared" ref="V57:V58" si="65">U57</f>
        <v>0</v>
      </c>
      <c r="W57" s="93"/>
      <c r="AA57" s="93"/>
      <c r="AB57" s="93"/>
    </row>
    <row r="58" spans="1:32" ht="103.95" customHeight="1" x14ac:dyDescent="0.25">
      <c r="A58" s="92"/>
      <c r="B58" s="92" t="s">
        <v>336</v>
      </c>
      <c r="C58" s="679" t="s">
        <v>526</v>
      </c>
      <c r="D58" s="630" t="s">
        <v>130</v>
      </c>
      <c r="E58" s="104">
        <v>0</v>
      </c>
      <c r="F58" s="580">
        <v>12</v>
      </c>
      <c r="G58" s="104">
        <v>0</v>
      </c>
      <c r="H58" s="104">
        <v>0</v>
      </c>
      <c r="I58" s="104">
        <v>0</v>
      </c>
      <c r="J58" s="99">
        <v>245948.56</v>
      </c>
      <c r="K58" s="98">
        <f>70240.51+15649.51*2</f>
        <v>101539.53</v>
      </c>
      <c r="L58" s="101">
        <v>72362.48</v>
      </c>
      <c r="M58" s="98">
        <f t="shared" si="61"/>
        <v>419850.56999999995</v>
      </c>
      <c r="N58" s="98">
        <f t="shared" si="62"/>
        <v>0</v>
      </c>
      <c r="O58" s="98">
        <f>G58*K58+376793.67</f>
        <v>376793.67</v>
      </c>
      <c r="P58" s="109"/>
      <c r="Q58" s="99">
        <f>G58*L58</f>
        <v>0</v>
      </c>
      <c r="R58" s="99"/>
      <c r="S58" s="99"/>
      <c r="T58" s="98">
        <f t="shared" si="63"/>
        <v>376793.67</v>
      </c>
      <c r="U58" s="98">
        <f t="shared" si="64"/>
        <v>376793.67</v>
      </c>
      <c r="V58" s="98">
        <f t="shared" si="65"/>
        <v>376793.67</v>
      </c>
      <c r="W58" s="93"/>
      <c r="AA58" s="93"/>
      <c r="AB58" s="93"/>
    </row>
    <row r="59" spans="1:32" ht="31.2" customHeight="1" x14ac:dyDescent="0.25">
      <c r="A59" s="92"/>
      <c r="B59" s="97" t="s">
        <v>143</v>
      </c>
      <c r="C59" s="863" t="s">
        <v>299</v>
      </c>
      <c r="D59" s="630" t="s">
        <v>130</v>
      </c>
      <c r="E59" s="104">
        <f>20-3</f>
        <v>17</v>
      </c>
      <c r="F59" s="580">
        <v>2</v>
      </c>
      <c r="G59" s="104">
        <f>14+1</f>
        <v>15</v>
      </c>
      <c r="H59" s="104">
        <v>14</v>
      </c>
      <c r="I59" s="104">
        <v>14</v>
      </c>
      <c r="J59" s="99">
        <f>95705.64+79624.31</f>
        <v>175329.95</v>
      </c>
      <c r="K59" s="98">
        <f>43062.49+17492.53*1.5</f>
        <v>69301.285000000003</v>
      </c>
      <c r="L59" s="101">
        <v>72362.48</v>
      </c>
      <c r="M59" s="98">
        <f t="shared" si="9"/>
        <v>316993.71500000003</v>
      </c>
      <c r="N59" s="98">
        <f t="shared" si="62"/>
        <v>2629949.25</v>
      </c>
      <c r="O59" s="98">
        <f>G59*K59</f>
        <v>1039519.275</v>
      </c>
      <c r="P59" s="109"/>
      <c r="Q59" s="99">
        <f>G59*L59</f>
        <v>1085437.2</v>
      </c>
      <c r="R59" s="99"/>
      <c r="S59" s="99"/>
      <c r="T59" s="98">
        <f t="shared" si="63"/>
        <v>4754905.7249999996</v>
      </c>
      <c r="U59" s="98">
        <f t="shared" ref="U59:V66" si="66">T59</f>
        <v>4754905.7249999996</v>
      </c>
      <c r="V59" s="98">
        <f t="shared" si="66"/>
        <v>4754905.7249999996</v>
      </c>
      <c r="X59" s="93">
        <f>W56-U55</f>
        <v>-15933595.829999996</v>
      </c>
    </row>
    <row r="60" spans="1:32" ht="28.95" customHeight="1" x14ac:dyDescent="0.25">
      <c r="A60" s="92"/>
      <c r="B60" s="97" t="s">
        <v>336</v>
      </c>
      <c r="C60" s="888"/>
      <c r="D60" s="630" t="s">
        <v>130</v>
      </c>
      <c r="E60" s="104">
        <v>4</v>
      </c>
      <c r="F60" s="580">
        <v>1</v>
      </c>
      <c r="G60" s="104">
        <f>2-2</f>
        <v>0</v>
      </c>
      <c r="H60" s="104">
        <f>2-2</f>
        <v>0</v>
      </c>
      <c r="I60" s="104">
        <f>2-2</f>
        <v>0</v>
      </c>
      <c r="J60" s="99">
        <f>95705.64+37007.42</f>
        <v>132713.06</v>
      </c>
      <c r="K60" s="98">
        <f>32326.86+17492.53</f>
        <v>49819.39</v>
      </c>
      <c r="L60" s="101">
        <v>72362.48</v>
      </c>
      <c r="M60" s="98">
        <f t="shared" si="9"/>
        <v>254894.93</v>
      </c>
      <c r="N60" s="98">
        <f t="shared" si="62"/>
        <v>0</v>
      </c>
      <c r="O60" s="98">
        <f t="shared" ref="O60" si="67">G60*K60</f>
        <v>0</v>
      </c>
      <c r="P60" s="109"/>
      <c r="Q60" s="99">
        <f t="shared" ref="Q60:Q62" si="68">G60*L60</f>
        <v>0</v>
      </c>
      <c r="R60" s="99"/>
      <c r="S60" s="99"/>
      <c r="T60" s="98">
        <f t="shared" si="63"/>
        <v>0</v>
      </c>
      <c r="U60" s="98">
        <f t="shared" si="66"/>
        <v>0</v>
      </c>
      <c r="V60" s="98">
        <f t="shared" si="66"/>
        <v>0</v>
      </c>
    </row>
    <row r="61" spans="1:32" ht="23.4" customHeight="1" x14ac:dyDescent="0.25">
      <c r="A61" s="92"/>
      <c r="B61" s="97" t="s">
        <v>336</v>
      </c>
      <c r="C61" s="888"/>
      <c r="D61" s="630" t="s">
        <v>130</v>
      </c>
      <c r="E61" s="104">
        <v>21</v>
      </c>
      <c r="F61" s="580">
        <v>10</v>
      </c>
      <c r="G61" s="104">
        <v>25</v>
      </c>
      <c r="H61" s="104">
        <v>25</v>
      </c>
      <c r="I61" s="104">
        <v>25</v>
      </c>
      <c r="J61" s="99">
        <f t="shared" ref="J61:J63" si="69">95705.64+37007.42</f>
        <v>132713.06</v>
      </c>
      <c r="K61" s="98">
        <f>32326.86+17492.53</f>
        <v>49819.39</v>
      </c>
      <c r="L61" s="101">
        <v>72362.48</v>
      </c>
      <c r="M61" s="98">
        <f t="shared" ref="M61" si="70">J61+K61+L61</f>
        <v>254894.93</v>
      </c>
      <c r="N61" s="98">
        <f t="shared" si="62"/>
        <v>3317826.5</v>
      </c>
      <c r="O61" s="98">
        <f>G61*K61+46162.57-8471.62-498834.53</f>
        <v>784341.16999999993</v>
      </c>
      <c r="P61" s="109"/>
      <c r="Q61" s="99">
        <f t="shared" ref="Q61" si="71">G61*L61</f>
        <v>1809062</v>
      </c>
      <c r="R61" s="99"/>
      <c r="S61" s="99"/>
      <c r="T61" s="98">
        <f t="shared" si="63"/>
        <v>5911229.6699999999</v>
      </c>
      <c r="U61" s="98">
        <f t="shared" ref="U61" si="72">T61</f>
        <v>5911229.6699999999</v>
      </c>
      <c r="V61" s="98">
        <f t="shared" ref="V61" si="73">U61</f>
        <v>5911229.6699999999</v>
      </c>
    </row>
    <row r="62" spans="1:32" ht="25.95" customHeight="1" x14ac:dyDescent="0.25">
      <c r="A62" s="377" t="s">
        <v>516</v>
      </c>
      <c r="B62" s="373" t="s">
        <v>344</v>
      </c>
      <c r="C62" s="888"/>
      <c r="D62" s="630" t="s">
        <v>130</v>
      </c>
      <c r="E62" s="104">
        <v>2</v>
      </c>
      <c r="F62" s="580">
        <v>2</v>
      </c>
      <c r="G62" s="113">
        <v>1</v>
      </c>
      <c r="H62" s="104">
        <f>2-1</f>
        <v>1</v>
      </c>
      <c r="I62" s="104">
        <f>2-1</f>
        <v>1</v>
      </c>
      <c r="J62" s="99">
        <v>175329.95</v>
      </c>
      <c r="K62" s="375">
        <f>43062.49+17492.53*1.5+257654.9</f>
        <v>326956.185</v>
      </c>
      <c r="L62" s="101">
        <v>72362.48</v>
      </c>
      <c r="M62" s="98">
        <f t="shared" si="9"/>
        <v>574648.61499999999</v>
      </c>
      <c r="N62" s="98">
        <f t="shared" si="62"/>
        <v>175329.95</v>
      </c>
      <c r="O62" s="98">
        <f>G62*K62+5633.89-0.37</f>
        <v>332589.70500000002</v>
      </c>
      <c r="P62" s="109"/>
      <c r="Q62" s="99">
        <f t="shared" si="68"/>
        <v>72362.48</v>
      </c>
      <c r="R62" s="99"/>
      <c r="S62" s="99"/>
      <c r="T62" s="98">
        <f t="shared" si="63"/>
        <v>580282.13500000001</v>
      </c>
      <c r="U62" s="98">
        <f t="shared" si="66"/>
        <v>580282.13500000001</v>
      </c>
      <c r="V62" s="98">
        <f t="shared" si="66"/>
        <v>580282.13500000001</v>
      </c>
    </row>
    <row r="63" spans="1:32" ht="24" customHeight="1" x14ac:dyDescent="0.25">
      <c r="A63" s="97"/>
      <c r="B63" s="97" t="s">
        <v>334</v>
      </c>
      <c r="C63" s="873"/>
      <c r="D63" s="630" t="s">
        <v>130</v>
      </c>
      <c r="E63" s="104">
        <f>58+1-5</f>
        <v>54</v>
      </c>
      <c r="F63" s="580">
        <v>46</v>
      </c>
      <c r="G63" s="113">
        <v>46</v>
      </c>
      <c r="H63" s="104">
        <f>53-7</f>
        <v>46</v>
      </c>
      <c r="I63" s="104">
        <f>53-7</f>
        <v>46</v>
      </c>
      <c r="J63" s="99">
        <f t="shared" si="69"/>
        <v>132713.06</v>
      </c>
      <c r="K63" s="98">
        <f>32326.86+17492.53</f>
        <v>49819.39</v>
      </c>
      <c r="L63" s="101">
        <v>72362.48</v>
      </c>
      <c r="M63" s="98">
        <f t="shared" si="9"/>
        <v>254894.93</v>
      </c>
      <c r="N63" s="98">
        <f t="shared" si="62"/>
        <v>6104800.7599999998</v>
      </c>
      <c r="O63" s="98">
        <f>G63*K63</f>
        <v>2291691.94</v>
      </c>
      <c r="P63" s="109"/>
      <c r="Q63" s="99">
        <f>G63*L63</f>
        <v>3328674.0799999996</v>
      </c>
      <c r="R63" s="99"/>
      <c r="S63" s="99"/>
      <c r="T63" s="98">
        <f t="shared" si="63"/>
        <v>11725166.779999999</v>
      </c>
      <c r="U63" s="98">
        <f t="shared" si="66"/>
        <v>11725166.779999999</v>
      </c>
      <c r="V63" s="98">
        <f t="shared" si="66"/>
        <v>11725166.779999999</v>
      </c>
    </row>
    <row r="64" spans="1:32" ht="28.95" hidden="1" customHeight="1" x14ac:dyDescent="0.25">
      <c r="A64" s="97"/>
      <c r="B64" s="87" t="s">
        <v>139</v>
      </c>
      <c r="C64" s="97" t="s">
        <v>44</v>
      </c>
      <c r="D64" s="630"/>
      <c r="E64" s="104"/>
      <c r="F64" s="104"/>
      <c r="G64" s="104"/>
      <c r="H64" s="104"/>
      <c r="I64" s="104"/>
      <c r="J64" s="99"/>
      <c r="K64" s="98">
        <f t="shared" si="59"/>
        <v>25908.217039320003</v>
      </c>
      <c r="L64" s="99">
        <v>0</v>
      </c>
      <c r="M64" s="98">
        <v>0</v>
      </c>
      <c r="N64" s="109"/>
      <c r="O64" s="98"/>
      <c r="P64" s="109"/>
      <c r="Q64" s="99"/>
      <c r="R64" s="99"/>
      <c r="S64" s="99"/>
      <c r="T64" s="98">
        <f>N64</f>
        <v>0</v>
      </c>
      <c r="U64" s="98">
        <f t="shared" si="66"/>
        <v>0</v>
      </c>
      <c r="V64" s="98">
        <f t="shared" si="66"/>
        <v>0</v>
      </c>
    </row>
    <row r="65" spans="1:138" ht="31.2" hidden="1" customHeight="1" x14ac:dyDescent="0.25">
      <c r="A65" s="97"/>
      <c r="B65" s="87" t="s">
        <v>140</v>
      </c>
      <c r="C65" s="97"/>
      <c r="D65" s="630"/>
      <c r="E65" s="104"/>
      <c r="F65" s="104"/>
      <c r="G65" s="104"/>
      <c r="H65" s="104"/>
      <c r="I65" s="104"/>
      <c r="J65" s="99"/>
      <c r="K65" s="98">
        <f t="shared" si="59"/>
        <v>25908.217039320003</v>
      </c>
      <c r="L65" s="99">
        <v>0</v>
      </c>
      <c r="M65" s="98">
        <v>0</v>
      </c>
      <c r="N65" s="109"/>
      <c r="O65" s="98"/>
      <c r="P65" s="109"/>
      <c r="Q65" s="99"/>
      <c r="R65" s="99"/>
      <c r="S65" s="99"/>
      <c r="T65" s="98">
        <f>O65</f>
        <v>0</v>
      </c>
      <c r="U65" s="98">
        <f t="shared" si="66"/>
        <v>0</v>
      </c>
      <c r="V65" s="98">
        <f t="shared" si="66"/>
        <v>0</v>
      </c>
    </row>
    <row r="66" spans="1:138" ht="66" customHeight="1" x14ac:dyDescent="0.25">
      <c r="A66" s="92" t="s">
        <v>133</v>
      </c>
      <c r="B66" s="97" t="s">
        <v>134</v>
      </c>
      <c r="C66" s="97" t="s">
        <v>54</v>
      </c>
      <c r="D66" s="630" t="s">
        <v>130</v>
      </c>
      <c r="E66" s="104">
        <f>SUM(E57:E65)</f>
        <v>98</v>
      </c>
      <c r="F66" s="674">
        <f>SUM(F57:F65)</f>
        <v>87</v>
      </c>
      <c r="G66" s="113">
        <f>G59+G60+G62+G63+G61+G57+G58</f>
        <v>87</v>
      </c>
      <c r="H66" s="113">
        <f>SUM(H57:H65)</f>
        <v>86</v>
      </c>
      <c r="I66" s="113">
        <f>SUM(I57:I65)</f>
        <v>86</v>
      </c>
      <c r="J66" s="99">
        <v>0</v>
      </c>
      <c r="K66" s="98">
        <v>0</v>
      </c>
      <c r="L66" s="101">
        <f>61511.06</f>
        <v>61511.06</v>
      </c>
      <c r="M66" s="98">
        <f>J66+K66+L66</f>
        <v>61511.06</v>
      </c>
      <c r="N66" s="98">
        <f>G66*J66</f>
        <v>0</v>
      </c>
      <c r="O66" s="98">
        <f>G66*K66</f>
        <v>0</v>
      </c>
      <c r="P66" s="109"/>
      <c r="Q66" s="107">
        <f>G66*L66</f>
        <v>5351462.22</v>
      </c>
      <c r="R66" s="99"/>
      <c r="S66" s="99"/>
      <c r="T66" s="102">
        <f>SUM(N66:Q66)</f>
        <v>5351462.22</v>
      </c>
      <c r="U66" s="98">
        <f>T66</f>
        <v>5351462.22</v>
      </c>
      <c r="V66" s="98">
        <f t="shared" si="66"/>
        <v>5351462.22</v>
      </c>
    </row>
    <row r="67" spans="1:138" ht="27" customHeight="1" x14ac:dyDescent="0.25">
      <c r="A67" s="484" t="s">
        <v>581</v>
      </c>
      <c r="B67" s="97" t="s">
        <v>134</v>
      </c>
      <c r="C67" s="97" t="s">
        <v>135</v>
      </c>
      <c r="D67" s="630"/>
      <c r="E67" s="109"/>
      <c r="F67" s="104"/>
      <c r="G67" s="113">
        <f>G66</f>
        <v>87</v>
      </c>
      <c r="H67" s="113">
        <f>H66</f>
        <v>86</v>
      </c>
      <c r="I67" s="113">
        <f>I66</f>
        <v>86</v>
      </c>
      <c r="J67" s="99"/>
      <c r="K67" s="98"/>
      <c r="L67" s="101">
        <v>20437.68</v>
      </c>
      <c r="M67" s="98">
        <f t="shared" si="9"/>
        <v>20437.68</v>
      </c>
      <c r="N67" s="109"/>
      <c r="O67" s="98"/>
      <c r="P67" s="109"/>
      <c r="Q67" s="99"/>
      <c r="R67" s="99"/>
      <c r="S67" s="107">
        <f>G67*L67</f>
        <v>1778078.16</v>
      </c>
      <c r="T67" s="102">
        <f>S67</f>
        <v>1778078.16</v>
      </c>
      <c r="U67" s="98">
        <f>T67</f>
        <v>1778078.16</v>
      </c>
      <c r="V67" s="98">
        <f>U67</f>
        <v>1778078.16</v>
      </c>
    </row>
    <row r="68" spans="1:138" ht="26.4" customHeight="1" x14ac:dyDescent="0.25">
      <c r="A68" s="96" t="s">
        <v>144</v>
      </c>
      <c r="B68" s="96"/>
      <c r="C68" s="96"/>
      <c r="D68" s="111"/>
      <c r="E68" s="112"/>
      <c r="F68" s="113"/>
      <c r="G68" s="113"/>
      <c r="H68" s="112"/>
      <c r="I68" s="112"/>
      <c r="J68" s="101"/>
      <c r="K68" s="98"/>
      <c r="L68" s="101"/>
      <c r="M68" s="98">
        <f t="shared" si="9"/>
        <v>0</v>
      </c>
      <c r="N68" s="101">
        <f>N69+N84</f>
        <v>16122576.59</v>
      </c>
      <c r="O68" s="101">
        <f>O69</f>
        <v>6061572.4000000004</v>
      </c>
      <c r="P68" s="101"/>
      <c r="Q68" s="807">
        <f>Q69+Q81</f>
        <v>14190595.239999998</v>
      </c>
      <c r="R68" s="101"/>
      <c r="S68" s="101">
        <f>S82</f>
        <v>2166394.08</v>
      </c>
      <c r="T68" s="101">
        <f>T69+T81+T82+T84</f>
        <v>38541138.310000002</v>
      </c>
      <c r="U68" s="102">
        <f>U69+U81+U82+U84</f>
        <v>38295716.560000002</v>
      </c>
      <c r="V68" s="102">
        <f>V69+V81+V82</f>
        <v>38295716.560000002</v>
      </c>
      <c r="W68" s="83">
        <v>10602392.789999999</v>
      </c>
      <c r="X68" s="93">
        <f>W68-Q68</f>
        <v>-3588202.4499999993</v>
      </c>
      <c r="Y68" s="103">
        <f>X68/G81</f>
        <v>-33850.966509433958</v>
      </c>
      <c r="AA68" s="83">
        <v>11530755.789999999</v>
      </c>
      <c r="AB68" s="93">
        <f>AA68-Q68</f>
        <v>-2659839.4499999993</v>
      </c>
      <c r="AC68" s="83">
        <f>AB68/I81</f>
        <v>-25092.824999999993</v>
      </c>
    </row>
    <row r="69" spans="1:138" ht="73.2" customHeight="1" x14ac:dyDescent="0.25">
      <c r="A69" s="92" t="s">
        <v>127</v>
      </c>
      <c r="B69" s="87" t="s">
        <v>128</v>
      </c>
      <c r="C69" s="87"/>
      <c r="D69" s="630"/>
      <c r="E69" s="109"/>
      <c r="F69" s="104"/>
      <c r="G69" s="104"/>
      <c r="H69" s="109"/>
      <c r="I69" s="109"/>
      <c r="J69" s="99"/>
      <c r="K69" s="98"/>
      <c r="L69" s="99"/>
      <c r="M69" s="98"/>
      <c r="N69" s="98">
        <f>SUM(N70:N80)</f>
        <v>15877154.84</v>
      </c>
      <c r="O69" s="98">
        <f>SUM(O70:O80)</f>
        <v>6061572.4000000004</v>
      </c>
      <c r="P69" s="109"/>
      <c r="Q69" s="101">
        <f>SUM(Q70:Q80)</f>
        <v>7670422.879999999</v>
      </c>
      <c r="R69" s="99"/>
      <c r="S69" s="99"/>
      <c r="T69" s="102">
        <f>SUM(T70:T80)</f>
        <v>29609150.120000005</v>
      </c>
      <c r="U69" s="98">
        <f>SUM(U70:U80)</f>
        <v>29609150.120000005</v>
      </c>
      <c r="V69" s="98">
        <f>SUM(V70:V80)</f>
        <v>29609150.120000005</v>
      </c>
      <c r="W69" s="93">
        <v>23072309.280000001</v>
      </c>
      <c r="AA69" s="93">
        <f>23072309.28+U82</f>
        <v>25238703.359999999</v>
      </c>
      <c r="AB69" s="93">
        <f>U68-AA69</f>
        <v>13057013.200000003</v>
      </c>
    </row>
    <row r="70" spans="1:138" ht="48" customHeight="1" x14ac:dyDescent="0.25">
      <c r="A70" s="92"/>
      <c r="B70" s="97" t="s">
        <v>129</v>
      </c>
      <c r="C70" s="863" t="s">
        <v>612</v>
      </c>
      <c r="D70" s="630" t="s">
        <v>130</v>
      </c>
      <c r="E70" s="104">
        <v>17</v>
      </c>
      <c r="F70" s="580">
        <v>20</v>
      </c>
      <c r="G70" s="104">
        <f>20+2</f>
        <v>22</v>
      </c>
      <c r="H70" s="104">
        <f>20+2</f>
        <v>22</v>
      </c>
      <c r="I70" s="104">
        <f>20+2</f>
        <v>22</v>
      </c>
      <c r="J70" s="99">
        <v>86493.99</v>
      </c>
      <c r="K70" s="98">
        <f>43062.49+13925.43</f>
        <v>56987.92</v>
      </c>
      <c r="L70" s="101">
        <v>72362.48</v>
      </c>
      <c r="M70" s="98">
        <f t="shared" si="9"/>
        <v>215844.39</v>
      </c>
      <c r="N70" s="98">
        <f t="shared" ref="N70:N80" si="74">G70*J70</f>
        <v>1902867.78</v>
      </c>
      <c r="O70" s="99">
        <f t="shared" ref="O70:O80" si="75">G70*K70</f>
        <v>1253734.24</v>
      </c>
      <c r="P70" s="109"/>
      <c r="Q70" s="99">
        <f>G70*L70</f>
        <v>1591974.5599999998</v>
      </c>
      <c r="R70" s="99"/>
      <c r="S70" s="99"/>
      <c r="T70" s="98">
        <f t="shared" ref="T70:T75" si="76">SUM(N70:Q70)</f>
        <v>4748576.58</v>
      </c>
      <c r="U70" s="98">
        <f t="shared" ref="U70:V81" si="77">T70</f>
        <v>4748576.58</v>
      </c>
      <c r="V70" s="98">
        <f t="shared" si="77"/>
        <v>4748576.58</v>
      </c>
      <c r="X70" s="93">
        <f>W69-U68</f>
        <v>-15223407.280000001</v>
      </c>
    </row>
    <row r="71" spans="1:138" ht="51" customHeight="1" x14ac:dyDescent="0.25">
      <c r="A71" s="92"/>
      <c r="B71" s="97" t="s">
        <v>334</v>
      </c>
      <c r="C71" s="865"/>
      <c r="D71" s="630" t="s">
        <v>130</v>
      </c>
      <c r="E71" s="104">
        <v>4</v>
      </c>
      <c r="F71" s="580">
        <v>2</v>
      </c>
      <c r="G71" s="104">
        <f>1-1</f>
        <v>0</v>
      </c>
      <c r="H71" s="104">
        <f>1-1</f>
        <v>0</v>
      </c>
      <c r="I71" s="104">
        <f>1-1</f>
        <v>0</v>
      </c>
      <c r="J71" s="99">
        <v>86493.99</v>
      </c>
      <c r="K71" s="98">
        <f>43062.49+13925.43</f>
        <v>56987.92</v>
      </c>
      <c r="L71" s="101">
        <v>72362.48</v>
      </c>
      <c r="M71" s="98">
        <f t="shared" ref="M71" si="78">J71+K71+L71</f>
        <v>215844.39</v>
      </c>
      <c r="N71" s="98">
        <f t="shared" ref="N71" si="79">G71*J71</f>
        <v>0</v>
      </c>
      <c r="O71" s="99">
        <f t="shared" ref="O71" si="80">G71*K71</f>
        <v>0</v>
      </c>
      <c r="P71" s="109"/>
      <c r="Q71" s="99">
        <f>G71*L71</f>
        <v>0</v>
      </c>
      <c r="R71" s="99"/>
      <c r="S71" s="99"/>
      <c r="T71" s="98">
        <f t="shared" ref="T71" si="81">SUM(N71:Q71)</f>
        <v>0</v>
      </c>
      <c r="U71" s="98">
        <f t="shared" ref="U71" si="82">T71</f>
        <v>0</v>
      </c>
      <c r="V71" s="98">
        <f t="shared" ref="V71" si="83">U71</f>
        <v>0</v>
      </c>
      <c r="X71" s="93"/>
    </row>
    <row r="72" spans="1:138" ht="108.6" customHeight="1" x14ac:dyDescent="0.25">
      <c r="A72" s="97"/>
      <c r="B72" s="97" t="s">
        <v>336</v>
      </c>
      <c r="C72" s="92" t="s">
        <v>450</v>
      </c>
      <c r="D72" s="630" t="s">
        <v>130</v>
      </c>
      <c r="E72" s="104">
        <v>27</v>
      </c>
      <c r="F72" s="580">
        <v>20</v>
      </c>
      <c r="G72" s="104">
        <f>25-5</f>
        <v>20</v>
      </c>
      <c r="H72" s="104">
        <f>27-7</f>
        <v>20</v>
      </c>
      <c r="I72" s="104">
        <f>27-7</f>
        <v>20</v>
      </c>
      <c r="J72" s="99">
        <v>245948.56</v>
      </c>
      <c r="K72" s="98">
        <f>64533.72+13925.43*2</f>
        <v>92384.58</v>
      </c>
      <c r="L72" s="101">
        <v>72362.48</v>
      </c>
      <c r="M72" s="98">
        <f t="shared" si="9"/>
        <v>410695.62</v>
      </c>
      <c r="N72" s="98">
        <f>G72*J72</f>
        <v>4918971.2</v>
      </c>
      <c r="O72" s="99">
        <f>G72*K72+1625.13-1043.9-28009.16+27428.48-0.55</f>
        <v>1847691.6</v>
      </c>
      <c r="P72" s="109"/>
      <c r="Q72" s="99">
        <f>G72*L72</f>
        <v>1447249.5999999999</v>
      </c>
      <c r="R72" s="99"/>
      <c r="S72" s="99"/>
      <c r="T72" s="98">
        <f t="shared" si="76"/>
        <v>8213912.4000000004</v>
      </c>
      <c r="U72" s="98">
        <f t="shared" si="77"/>
        <v>8213912.4000000004</v>
      </c>
      <c r="V72" s="98">
        <f t="shared" si="77"/>
        <v>8213912.4000000004</v>
      </c>
    </row>
    <row r="73" spans="1:138" ht="33" customHeight="1" x14ac:dyDescent="0.25">
      <c r="A73" s="481" t="s">
        <v>558</v>
      </c>
      <c r="B73" s="97" t="s">
        <v>336</v>
      </c>
      <c r="C73" s="870" t="s">
        <v>449</v>
      </c>
      <c r="D73" s="630" t="s">
        <v>130</v>
      </c>
      <c r="E73" s="104">
        <v>1</v>
      </c>
      <c r="F73" s="580">
        <f>1</f>
        <v>1</v>
      </c>
      <c r="G73" s="113">
        <v>1</v>
      </c>
      <c r="H73" s="113">
        <v>1</v>
      </c>
      <c r="I73" s="113">
        <v>1</v>
      </c>
      <c r="J73" s="99">
        <v>132713.06</v>
      </c>
      <c r="K73" s="98">
        <f>32326.86+13925.43</f>
        <v>46252.29</v>
      </c>
      <c r="L73" s="101">
        <v>72362.48</v>
      </c>
      <c r="M73" s="98">
        <f t="shared" si="9"/>
        <v>251327.83000000002</v>
      </c>
      <c r="N73" s="98">
        <f t="shared" si="74"/>
        <v>132713.06</v>
      </c>
      <c r="O73" s="99">
        <f t="shared" si="75"/>
        <v>46252.29</v>
      </c>
      <c r="P73" s="109"/>
      <c r="Q73" s="99">
        <f t="shared" ref="Q73:Q74" si="84">G73*L73</f>
        <v>72362.48</v>
      </c>
      <c r="R73" s="99"/>
      <c r="S73" s="99"/>
      <c r="T73" s="98">
        <f t="shared" si="76"/>
        <v>251327.83000000002</v>
      </c>
      <c r="U73" s="98">
        <f t="shared" si="77"/>
        <v>251327.83000000002</v>
      </c>
      <c r="V73" s="98">
        <f t="shared" si="77"/>
        <v>251327.83000000002</v>
      </c>
    </row>
    <row r="74" spans="1:138" ht="42.6" customHeight="1" x14ac:dyDescent="0.25">
      <c r="A74" s="92"/>
      <c r="B74" s="97" t="s">
        <v>336</v>
      </c>
      <c r="C74" s="871"/>
      <c r="D74" s="630" t="s">
        <v>130</v>
      </c>
      <c r="E74" s="104">
        <v>11</v>
      </c>
      <c r="F74" s="580">
        <v>10</v>
      </c>
      <c r="G74" s="104">
        <f>11-1</f>
        <v>10</v>
      </c>
      <c r="H74" s="104">
        <f>10</f>
        <v>10</v>
      </c>
      <c r="I74" s="104">
        <f>10</f>
        <v>10</v>
      </c>
      <c r="J74" s="99">
        <v>132713.06</v>
      </c>
      <c r="K74" s="98">
        <f t="shared" ref="K74:K75" si="85">32326.86+13925.43</f>
        <v>46252.29</v>
      </c>
      <c r="L74" s="101">
        <v>72362.48</v>
      </c>
      <c r="M74" s="98">
        <f t="shared" si="9"/>
        <v>251327.83000000002</v>
      </c>
      <c r="N74" s="98">
        <f t="shared" si="74"/>
        <v>1327130.6000000001</v>
      </c>
      <c r="O74" s="99">
        <f t="shared" si="75"/>
        <v>462522.9</v>
      </c>
      <c r="P74" s="109"/>
      <c r="Q74" s="99">
        <f t="shared" si="84"/>
        <v>723624.79999999993</v>
      </c>
      <c r="R74" s="99"/>
      <c r="S74" s="99"/>
      <c r="T74" s="98">
        <f t="shared" si="76"/>
        <v>2513278.2999999998</v>
      </c>
      <c r="U74" s="98">
        <f t="shared" si="77"/>
        <v>2513278.2999999998</v>
      </c>
      <c r="V74" s="98">
        <f t="shared" si="77"/>
        <v>2513278.2999999998</v>
      </c>
    </row>
    <row r="75" spans="1:138" ht="46.2" customHeight="1" x14ac:dyDescent="0.25">
      <c r="A75" s="97"/>
      <c r="B75" s="97" t="s">
        <v>334</v>
      </c>
      <c r="C75" s="872"/>
      <c r="D75" s="630" t="s">
        <v>130</v>
      </c>
      <c r="E75" s="104">
        <v>48</v>
      </c>
      <c r="F75" s="580">
        <v>50</v>
      </c>
      <c r="G75" s="104">
        <v>53</v>
      </c>
      <c r="H75" s="104">
        <v>53</v>
      </c>
      <c r="I75" s="104">
        <v>53</v>
      </c>
      <c r="J75" s="99">
        <v>132713.06</v>
      </c>
      <c r="K75" s="98">
        <f t="shared" si="85"/>
        <v>46252.29</v>
      </c>
      <c r="L75" s="101">
        <v>72362.48</v>
      </c>
      <c r="M75" s="98">
        <f t="shared" si="9"/>
        <v>251327.83000000002</v>
      </c>
      <c r="N75" s="98">
        <f t="shared" si="74"/>
        <v>7033792.1799999997</v>
      </c>
      <c r="O75" s="101">
        <f t="shared" si="75"/>
        <v>2451371.37</v>
      </c>
      <c r="P75" s="109"/>
      <c r="Q75" s="99">
        <f>G75*L75</f>
        <v>3835211.44</v>
      </c>
      <c r="R75" s="99"/>
      <c r="S75" s="99"/>
      <c r="T75" s="98">
        <f t="shared" si="76"/>
        <v>13320374.99</v>
      </c>
      <c r="U75" s="98">
        <f t="shared" si="77"/>
        <v>13320374.99</v>
      </c>
      <c r="V75" s="98">
        <f t="shared" si="77"/>
        <v>13320374.99</v>
      </c>
      <c r="W75" s="93">
        <f>T75-U75</f>
        <v>0</v>
      </c>
    </row>
    <row r="76" spans="1:138" s="376" customFormat="1" ht="95.4" customHeight="1" x14ac:dyDescent="0.25">
      <c r="A76" s="373"/>
      <c r="B76" s="373" t="s">
        <v>336</v>
      </c>
      <c r="C76" s="648" t="s">
        <v>451</v>
      </c>
      <c r="D76" s="373" t="s">
        <v>130</v>
      </c>
      <c r="E76" s="374">
        <v>27</v>
      </c>
      <c r="F76" s="676">
        <v>20</v>
      </c>
      <c r="G76" s="374">
        <f>20</f>
        <v>20</v>
      </c>
      <c r="H76" s="374">
        <f>20</f>
        <v>20</v>
      </c>
      <c r="I76" s="374">
        <f>20</f>
        <v>20</v>
      </c>
      <c r="J76" s="375">
        <v>7263.1</v>
      </c>
      <c r="K76" s="375">
        <v>0</v>
      </c>
      <c r="L76" s="375">
        <v>0</v>
      </c>
      <c r="M76" s="375">
        <f t="shared" si="9"/>
        <v>7263.1</v>
      </c>
      <c r="N76" s="375">
        <f t="shared" si="74"/>
        <v>145262</v>
      </c>
      <c r="O76" s="375">
        <f t="shared" si="75"/>
        <v>0</v>
      </c>
      <c r="P76" s="374"/>
      <c r="Q76" s="375">
        <f>G76*L76</f>
        <v>0</v>
      </c>
      <c r="R76" s="375"/>
      <c r="S76" s="375"/>
      <c r="T76" s="375">
        <f>N76</f>
        <v>145262</v>
      </c>
      <c r="U76" s="375">
        <f t="shared" si="77"/>
        <v>145262</v>
      </c>
      <c r="V76" s="375">
        <f t="shared" si="77"/>
        <v>145262</v>
      </c>
      <c r="W76" s="631"/>
      <c r="AD76" s="83"/>
      <c r="AE76" s="83"/>
      <c r="AF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</row>
    <row r="77" spans="1:138" ht="66.599999999999994" customHeight="1" x14ac:dyDescent="0.25">
      <c r="A77" s="373"/>
      <c r="B77" s="373" t="s">
        <v>336</v>
      </c>
      <c r="C77" s="866" t="s">
        <v>452</v>
      </c>
      <c r="D77" s="373" t="s">
        <v>130</v>
      </c>
      <c r="E77" s="374">
        <v>12</v>
      </c>
      <c r="F77" s="676">
        <f>12-3</f>
        <v>9</v>
      </c>
      <c r="G77" s="374">
        <f>11-1</f>
        <v>10</v>
      </c>
      <c r="H77" s="374">
        <f>12-2</f>
        <v>10</v>
      </c>
      <c r="I77" s="374">
        <f>12-2</f>
        <v>10</v>
      </c>
      <c r="J77" s="375">
        <v>4842.07</v>
      </c>
      <c r="K77" s="375">
        <v>0</v>
      </c>
      <c r="L77" s="375">
        <v>0</v>
      </c>
      <c r="M77" s="375">
        <f t="shared" si="9"/>
        <v>4842.07</v>
      </c>
      <c r="N77" s="375">
        <f t="shared" si="74"/>
        <v>48420.7</v>
      </c>
      <c r="O77" s="375">
        <f t="shared" si="75"/>
        <v>0</v>
      </c>
      <c r="P77" s="374"/>
      <c r="Q77" s="375">
        <f>G77*L77</f>
        <v>0</v>
      </c>
      <c r="R77" s="375"/>
      <c r="S77" s="375"/>
      <c r="T77" s="375">
        <f>N77</f>
        <v>48420.7</v>
      </c>
      <c r="U77" s="375">
        <f t="shared" si="77"/>
        <v>48420.7</v>
      </c>
      <c r="V77" s="375">
        <f t="shared" si="77"/>
        <v>48420.7</v>
      </c>
    </row>
    <row r="78" spans="1:138" ht="27" customHeight="1" x14ac:dyDescent="0.25">
      <c r="A78" s="373"/>
      <c r="B78" s="373" t="s">
        <v>339</v>
      </c>
      <c r="C78" s="868"/>
      <c r="D78" s="373" t="s">
        <v>130</v>
      </c>
      <c r="E78" s="374">
        <v>48</v>
      </c>
      <c r="F78" s="676">
        <v>52</v>
      </c>
      <c r="G78" s="374">
        <f>50+3</f>
        <v>53</v>
      </c>
      <c r="H78" s="374">
        <f>48+2+3</f>
        <v>53</v>
      </c>
      <c r="I78" s="374">
        <f>48+2+3</f>
        <v>53</v>
      </c>
      <c r="J78" s="375">
        <v>4842.07</v>
      </c>
      <c r="K78" s="375">
        <v>0</v>
      </c>
      <c r="L78" s="375">
        <v>0</v>
      </c>
      <c r="M78" s="375">
        <f t="shared" si="9"/>
        <v>4842.07</v>
      </c>
      <c r="N78" s="375">
        <f t="shared" si="74"/>
        <v>256629.71</v>
      </c>
      <c r="O78" s="375">
        <f t="shared" si="75"/>
        <v>0</v>
      </c>
      <c r="P78" s="374"/>
      <c r="Q78" s="375">
        <f t="shared" ref="Q78:Q81" si="86">G78*L78</f>
        <v>0</v>
      </c>
      <c r="R78" s="375"/>
      <c r="S78" s="375"/>
      <c r="T78" s="375">
        <f>N78</f>
        <v>256629.71</v>
      </c>
      <c r="U78" s="375">
        <f t="shared" si="77"/>
        <v>256629.71</v>
      </c>
      <c r="V78" s="375">
        <f t="shared" si="77"/>
        <v>256629.71</v>
      </c>
    </row>
    <row r="79" spans="1:138" ht="27" customHeight="1" x14ac:dyDescent="0.25">
      <c r="A79" s="373"/>
      <c r="B79" s="373" t="s">
        <v>339</v>
      </c>
      <c r="C79" s="894" t="s">
        <v>300</v>
      </c>
      <c r="D79" s="373"/>
      <c r="E79" s="374">
        <v>4</v>
      </c>
      <c r="F79" s="676">
        <v>4</v>
      </c>
      <c r="G79" s="374">
        <v>5</v>
      </c>
      <c r="H79" s="374">
        <v>5</v>
      </c>
      <c r="I79" s="374">
        <v>5</v>
      </c>
      <c r="J79" s="375">
        <v>4842.07</v>
      </c>
      <c r="K79" s="375">
        <v>0</v>
      </c>
      <c r="L79" s="375">
        <v>0</v>
      </c>
      <c r="M79" s="375">
        <f t="shared" ref="M79" si="87">J79+K79+L79</f>
        <v>4842.07</v>
      </c>
      <c r="N79" s="375">
        <f t="shared" ref="N79" si="88">G79*J79</f>
        <v>24210.35</v>
      </c>
      <c r="O79" s="375">
        <f t="shared" ref="O79" si="89">G79*K79</f>
        <v>0</v>
      </c>
      <c r="P79" s="374"/>
      <c r="Q79" s="375">
        <f t="shared" ref="Q79" si="90">G79*L79</f>
        <v>0</v>
      </c>
      <c r="R79" s="375"/>
      <c r="S79" s="375"/>
      <c r="T79" s="375">
        <f>N79</f>
        <v>24210.35</v>
      </c>
      <c r="U79" s="375">
        <f t="shared" ref="U79" si="91">T79</f>
        <v>24210.35</v>
      </c>
      <c r="V79" s="375">
        <f t="shared" ref="V79" si="92">U79</f>
        <v>24210.35</v>
      </c>
    </row>
    <row r="80" spans="1:138" ht="49.95" customHeight="1" x14ac:dyDescent="0.25">
      <c r="A80" s="373"/>
      <c r="B80" s="373" t="s">
        <v>129</v>
      </c>
      <c r="C80" s="894"/>
      <c r="D80" s="373" t="s">
        <v>130</v>
      </c>
      <c r="E80" s="374">
        <v>17</v>
      </c>
      <c r="F80" s="676">
        <v>18</v>
      </c>
      <c r="G80" s="374">
        <v>18</v>
      </c>
      <c r="H80" s="374">
        <v>18</v>
      </c>
      <c r="I80" s="374">
        <v>18</v>
      </c>
      <c r="J80" s="375">
        <v>4842.07</v>
      </c>
      <c r="K80" s="375">
        <v>0</v>
      </c>
      <c r="L80" s="375">
        <v>0</v>
      </c>
      <c r="M80" s="375">
        <f t="shared" si="9"/>
        <v>4842.07</v>
      </c>
      <c r="N80" s="375">
        <f t="shared" si="74"/>
        <v>87157.26</v>
      </c>
      <c r="O80" s="375">
        <f t="shared" si="75"/>
        <v>0</v>
      </c>
      <c r="P80" s="374"/>
      <c r="Q80" s="375">
        <f t="shared" si="86"/>
        <v>0</v>
      </c>
      <c r="R80" s="375"/>
      <c r="S80" s="375"/>
      <c r="T80" s="375">
        <f>N80</f>
        <v>87157.26</v>
      </c>
      <c r="U80" s="375">
        <f t="shared" si="77"/>
        <v>87157.26</v>
      </c>
      <c r="V80" s="375">
        <f t="shared" si="77"/>
        <v>87157.26</v>
      </c>
    </row>
    <row r="81" spans="1:371" ht="59.4" customHeight="1" x14ac:dyDescent="0.25">
      <c r="A81" s="92" t="s">
        <v>133</v>
      </c>
      <c r="B81" s="97" t="s">
        <v>137</v>
      </c>
      <c r="C81" s="97" t="s">
        <v>54</v>
      </c>
      <c r="D81" s="630" t="s">
        <v>130</v>
      </c>
      <c r="E81" s="104">
        <f>E70+E72+E73+E75+E74+E71</f>
        <v>108</v>
      </c>
      <c r="F81" s="674">
        <f>F70+F71+F72+F73+F74+F75</f>
        <v>103</v>
      </c>
      <c r="G81" s="104">
        <f>G70+G71+G72+G73+G74+G75</f>
        <v>106</v>
      </c>
      <c r="H81" s="104">
        <f t="shared" ref="H81:I81" si="93">H70+H72+H73+H75+H74+H71</f>
        <v>106</v>
      </c>
      <c r="I81" s="104">
        <f t="shared" si="93"/>
        <v>106</v>
      </c>
      <c r="J81" s="99">
        <v>0</v>
      </c>
      <c r="K81" s="98">
        <v>0</v>
      </c>
      <c r="L81" s="101">
        <f>61511.06</f>
        <v>61511.06</v>
      </c>
      <c r="M81" s="98">
        <f>J81+K81+L81</f>
        <v>61511.06</v>
      </c>
      <c r="N81" s="117">
        <f>E81*J81</f>
        <v>0</v>
      </c>
      <c r="O81" s="99">
        <f>G81*K81</f>
        <v>0</v>
      </c>
      <c r="P81" s="109"/>
      <c r="Q81" s="107">
        <f t="shared" si="86"/>
        <v>6520172.3599999994</v>
      </c>
      <c r="R81" s="99"/>
      <c r="S81" s="99"/>
      <c r="T81" s="102">
        <f>SUM(N81:Q81)</f>
        <v>6520172.3599999994</v>
      </c>
      <c r="U81" s="98">
        <f t="shared" si="77"/>
        <v>6520172.3599999994</v>
      </c>
      <c r="V81" s="98">
        <f t="shared" si="77"/>
        <v>6520172.3599999994</v>
      </c>
    </row>
    <row r="82" spans="1:371" ht="21" customHeight="1" x14ac:dyDescent="0.25">
      <c r="A82" s="484" t="s">
        <v>520</v>
      </c>
      <c r="B82" s="97" t="s">
        <v>137</v>
      </c>
      <c r="C82" s="97" t="s">
        <v>135</v>
      </c>
      <c r="D82" s="630"/>
      <c r="E82" s="109"/>
      <c r="F82" s="104"/>
      <c r="G82" s="113">
        <f>G81</f>
        <v>106</v>
      </c>
      <c r="H82" s="113">
        <f>H81</f>
        <v>106</v>
      </c>
      <c r="I82" s="113">
        <f>I81</f>
        <v>106</v>
      </c>
      <c r="J82" s="99">
        <v>0</v>
      </c>
      <c r="K82" s="98">
        <v>0</v>
      </c>
      <c r="L82" s="101">
        <v>20437.68</v>
      </c>
      <c r="M82" s="98">
        <f t="shared" si="9"/>
        <v>20437.68</v>
      </c>
      <c r="N82" s="109"/>
      <c r="O82" s="98"/>
      <c r="P82" s="109"/>
      <c r="Q82" s="99"/>
      <c r="R82" s="99"/>
      <c r="S82" s="107">
        <f>G82*L82</f>
        <v>2166394.08</v>
      </c>
      <c r="T82" s="102">
        <f>S82</f>
        <v>2166394.08</v>
      </c>
      <c r="U82" s="98">
        <f>T82</f>
        <v>2166394.08</v>
      </c>
      <c r="V82" s="98">
        <f>U82</f>
        <v>2166394.08</v>
      </c>
    </row>
    <row r="83" spans="1:371" ht="35.4" customHeight="1" x14ac:dyDescent="0.25">
      <c r="A83" s="883" t="s">
        <v>518</v>
      </c>
      <c r="B83" s="881" t="s">
        <v>519</v>
      </c>
      <c r="C83" s="662"/>
      <c r="D83" s="737" t="s">
        <v>24</v>
      </c>
      <c r="E83" s="738"/>
      <c r="F83" s="738">
        <v>24</v>
      </c>
      <c r="G83" s="739">
        <v>24</v>
      </c>
      <c r="H83" s="747">
        <v>0</v>
      </c>
      <c r="I83" s="747">
        <v>0</v>
      </c>
      <c r="J83" s="743">
        <v>0</v>
      </c>
      <c r="K83" s="741"/>
      <c r="L83" s="742"/>
      <c r="M83" s="741">
        <f>J83+K83+L83</f>
        <v>0</v>
      </c>
      <c r="N83" s="741">
        <f>G83*J83</f>
        <v>0</v>
      </c>
      <c r="O83" s="741"/>
      <c r="P83" s="738"/>
      <c r="Q83" s="741"/>
      <c r="R83" s="741"/>
      <c r="S83" s="743"/>
      <c r="T83" s="743">
        <f>SUM(N83:Q83)</f>
        <v>0</v>
      </c>
      <c r="U83" s="743"/>
      <c r="V83" s="743"/>
    </row>
    <row r="84" spans="1:371" ht="33.6" customHeight="1" x14ac:dyDescent="0.25">
      <c r="A84" s="884"/>
      <c r="B84" s="882"/>
      <c r="C84" s="662"/>
      <c r="D84" s="744" t="s">
        <v>235</v>
      </c>
      <c r="E84" s="738">
        <v>0</v>
      </c>
      <c r="F84" s="738">
        <f>26*F83</f>
        <v>624</v>
      </c>
      <c r="G84" s="739">
        <f>15*2*G83</f>
        <v>720</v>
      </c>
      <c r="H84" s="747">
        <v>0</v>
      </c>
      <c r="I84" s="747">
        <v>0</v>
      </c>
      <c r="J84" s="740">
        <v>341.23</v>
      </c>
      <c r="K84" s="741"/>
      <c r="L84" s="742"/>
      <c r="M84" s="741">
        <f>J84+K84+L84</f>
        <v>341.23</v>
      </c>
      <c r="N84" s="740">
        <f>G84*J84-263.85</f>
        <v>245421.75</v>
      </c>
      <c r="O84" s="741"/>
      <c r="P84" s="738"/>
      <c r="Q84" s="741"/>
      <c r="R84" s="741"/>
      <c r="S84" s="743"/>
      <c r="T84" s="740">
        <f>SUM(N84:Q84)</f>
        <v>245421.75</v>
      </c>
      <c r="U84" s="743">
        <f>H84*J84</f>
        <v>0</v>
      </c>
      <c r="V84" s="743">
        <f>I84*J84</f>
        <v>0</v>
      </c>
    </row>
    <row r="85" spans="1:371" ht="21" customHeight="1" x14ac:dyDescent="0.25">
      <c r="A85" s="97"/>
      <c r="B85" s="97"/>
      <c r="C85" s="420" t="s">
        <v>38</v>
      </c>
      <c r="D85" s="630"/>
      <c r="E85" s="109"/>
      <c r="F85" s="104">
        <v>24</v>
      </c>
      <c r="G85" s="108">
        <f>G83</f>
        <v>24</v>
      </c>
      <c r="H85" s="675">
        <f>H83</f>
        <v>0</v>
      </c>
      <c r="I85" s="675">
        <f>I83</f>
        <v>0</v>
      </c>
      <c r="J85" s="99" t="s">
        <v>26</v>
      </c>
      <c r="K85" s="98" t="s">
        <v>26</v>
      </c>
      <c r="L85" s="101" t="s">
        <v>26</v>
      </c>
      <c r="M85" s="98"/>
      <c r="N85" s="109"/>
      <c r="O85" s="98"/>
      <c r="P85" s="109"/>
      <c r="Q85" s="99"/>
      <c r="R85" s="99"/>
      <c r="S85" s="105"/>
      <c r="T85" s="106"/>
      <c r="U85" s="106"/>
      <c r="V85" s="106"/>
    </row>
    <row r="86" spans="1:371" ht="25.95" customHeight="1" x14ac:dyDescent="0.25">
      <c r="A86" s="111" t="s">
        <v>146</v>
      </c>
      <c r="B86" s="96"/>
      <c r="C86" s="96"/>
      <c r="D86" s="111"/>
      <c r="E86" s="112"/>
      <c r="F86" s="113"/>
      <c r="G86" s="113"/>
      <c r="H86" s="112"/>
      <c r="I86" s="112"/>
      <c r="J86" s="101"/>
      <c r="K86" s="98"/>
      <c r="L86" s="101"/>
      <c r="M86" s="98">
        <f t="shared" si="9"/>
        <v>0</v>
      </c>
      <c r="N86" s="101">
        <f>N87</f>
        <v>14384409.510000002</v>
      </c>
      <c r="O86" s="101">
        <f>O87</f>
        <v>5414687.7300000004</v>
      </c>
      <c r="P86" s="113"/>
      <c r="Q86" s="807">
        <f>Q87+Q97</f>
        <v>12985733.379999999</v>
      </c>
      <c r="R86" s="101"/>
      <c r="S86" s="101">
        <f>S98</f>
        <v>1982454.96</v>
      </c>
      <c r="T86" s="101">
        <f>T87+T97+T98</f>
        <v>34767285.579999998</v>
      </c>
      <c r="U86" s="102">
        <f>U87+U97+U98</f>
        <v>34767285.579999998</v>
      </c>
      <c r="V86" s="102">
        <f>V87+V97+V98</f>
        <v>34767285.579999998</v>
      </c>
      <c r="W86" s="93">
        <v>6315385.3799999999</v>
      </c>
      <c r="X86" s="93">
        <f>W86-Q86</f>
        <v>-6670347.9999999991</v>
      </c>
      <c r="Y86" s="83">
        <f>X86/G97</f>
        <v>-68766.474226804115</v>
      </c>
      <c r="AA86" s="83">
        <v>5964695.5300000003</v>
      </c>
      <c r="AB86" s="93">
        <f>AA86-Q86</f>
        <v>-7021037.8499999987</v>
      </c>
      <c r="AC86" s="83">
        <f>AB86/I97</f>
        <v>-72381.833505154631</v>
      </c>
    </row>
    <row r="87" spans="1:371" ht="72" customHeight="1" x14ac:dyDescent="0.25">
      <c r="A87" s="92" t="s">
        <v>127</v>
      </c>
      <c r="B87" s="87" t="s">
        <v>128</v>
      </c>
      <c r="C87" s="87"/>
      <c r="D87" s="630"/>
      <c r="E87" s="109"/>
      <c r="F87" s="104"/>
      <c r="G87" s="104"/>
      <c r="H87" s="109"/>
      <c r="I87" s="109"/>
      <c r="J87" s="99"/>
      <c r="K87" s="98"/>
      <c r="L87" s="99"/>
      <c r="M87" s="98"/>
      <c r="N87" s="98">
        <f>SUM(N88:N96)</f>
        <v>14384409.510000002</v>
      </c>
      <c r="O87" s="98">
        <f>SUM(O88:O96)</f>
        <v>5414687.7300000004</v>
      </c>
      <c r="P87" s="109"/>
      <c r="Q87" s="101">
        <f>SUM(Q88:Q96)</f>
        <v>7019160.5599999996</v>
      </c>
      <c r="R87" s="99"/>
      <c r="S87" s="99"/>
      <c r="T87" s="102">
        <f>SUM(T88:T96)</f>
        <v>26818257.800000001</v>
      </c>
      <c r="U87" s="98">
        <f>SUM(U88:U96)</f>
        <v>26818257.800000001</v>
      </c>
      <c r="V87" s="98">
        <f>SUM(V88:V96)</f>
        <v>26818257.800000001</v>
      </c>
      <c r="W87" s="93">
        <v>15874228.029999999</v>
      </c>
      <c r="AA87" s="93">
        <f>15874228.03+U98</f>
        <v>17856682.989999998</v>
      </c>
      <c r="AB87" s="93">
        <f>U86-AA87</f>
        <v>16910602.59</v>
      </c>
    </row>
    <row r="88" spans="1:371" ht="106.95" customHeight="1" x14ac:dyDescent="0.25">
      <c r="A88" s="92"/>
      <c r="B88" s="97" t="s">
        <v>129</v>
      </c>
      <c r="C88" s="92" t="s">
        <v>298</v>
      </c>
      <c r="D88" s="630" t="s">
        <v>130</v>
      </c>
      <c r="E88" s="104">
        <v>22</v>
      </c>
      <c r="F88" s="580">
        <f>22-7</f>
        <v>15</v>
      </c>
      <c r="G88" s="104">
        <v>15</v>
      </c>
      <c r="H88" s="104">
        <v>15</v>
      </c>
      <c r="I88" s="104">
        <v>15</v>
      </c>
      <c r="J88" s="99">
        <v>86493.99</v>
      </c>
      <c r="K88" s="98">
        <f>43062.49+14596.83*1</f>
        <v>57659.32</v>
      </c>
      <c r="L88" s="101">
        <v>72362.48</v>
      </c>
      <c r="M88" s="98">
        <f t="shared" si="9"/>
        <v>216515.78999999998</v>
      </c>
      <c r="N88" s="98">
        <f>G88*J88</f>
        <v>1297409.8500000001</v>
      </c>
      <c r="O88" s="98">
        <f>G88*K88</f>
        <v>864889.8</v>
      </c>
      <c r="P88" s="109"/>
      <c r="Q88" s="99">
        <f>G88*L88</f>
        <v>1085437.2</v>
      </c>
      <c r="R88" s="99"/>
      <c r="S88" s="99"/>
      <c r="T88" s="98">
        <f>SUM(N88:Q88)</f>
        <v>3247736.8500000006</v>
      </c>
      <c r="U88" s="98">
        <f>T88</f>
        <v>3247736.8500000006</v>
      </c>
      <c r="V88" s="98">
        <f>U88</f>
        <v>3247736.8500000006</v>
      </c>
    </row>
    <row r="89" spans="1:371" ht="106.95" customHeight="1" x14ac:dyDescent="0.25">
      <c r="A89" s="92"/>
      <c r="B89" s="97" t="s">
        <v>336</v>
      </c>
      <c r="C89" s="92" t="s">
        <v>472</v>
      </c>
      <c r="D89" s="630" t="s">
        <v>130</v>
      </c>
      <c r="E89" s="104">
        <v>12</v>
      </c>
      <c r="F89" s="104">
        <v>15</v>
      </c>
      <c r="G89" s="104">
        <v>15</v>
      </c>
      <c r="H89" s="104">
        <v>15</v>
      </c>
      <c r="I89" s="104">
        <v>15</v>
      </c>
      <c r="J89" s="99">
        <v>245948.56</v>
      </c>
      <c r="K89" s="98">
        <f>64533.72+14596.83*2</f>
        <v>93727.38</v>
      </c>
      <c r="L89" s="101">
        <v>72362.48</v>
      </c>
      <c r="M89" s="98">
        <f t="shared" ref="M89" si="94">J89+K89+L89</f>
        <v>412038.42</v>
      </c>
      <c r="N89" s="98">
        <f>G89*J89</f>
        <v>3689228.4</v>
      </c>
      <c r="O89" s="98">
        <f>G89*K89+21293.41-21293.41</f>
        <v>1405910.7000000002</v>
      </c>
      <c r="P89" s="109"/>
      <c r="Q89" s="99">
        <f>G89*L89</f>
        <v>1085437.2</v>
      </c>
      <c r="R89" s="99"/>
      <c r="S89" s="99"/>
      <c r="T89" s="98">
        <f>SUM(N89:Q89)</f>
        <v>6180576.2999999998</v>
      </c>
      <c r="U89" s="98">
        <f>T89</f>
        <v>6180576.2999999998</v>
      </c>
      <c r="V89" s="98">
        <f>U89</f>
        <v>6180576.2999999998</v>
      </c>
    </row>
    <row r="90" spans="1:371" ht="48.6" customHeight="1" x14ac:dyDescent="0.25">
      <c r="A90" s="92"/>
      <c r="B90" s="97" t="s">
        <v>334</v>
      </c>
      <c r="C90" s="864" t="s">
        <v>473</v>
      </c>
      <c r="D90" s="630" t="s">
        <v>130</v>
      </c>
      <c r="E90" s="104">
        <v>59</v>
      </c>
      <c r="F90" s="104">
        <v>58</v>
      </c>
      <c r="G90" s="104">
        <f>59-4</f>
        <v>55</v>
      </c>
      <c r="H90" s="104">
        <f>58-3</f>
        <v>55</v>
      </c>
      <c r="I90" s="104">
        <f>58-3</f>
        <v>55</v>
      </c>
      <c r="J90" s="99">
        <v>132713.06</v>
      </c>
      <c r="K90" s="98">
        <f>32326.86+14596.83</f>
        <v>46923.69</v>
      </c>
      <c r="L90" s="101">
        <v>72362.48</v>
      </c>
      <c r="M90" s="98">
        <f t="shared" si="9"/>
        <v>251999.22999999998</v>
      </c>
      <c r="N90" s="98">
        <f t="shared" ref="N90:N97" si="95">G90*J90</f>
        <v>7299218.2999999998</v>
      </c>
      <c r="O90" s="98">
        <f>G90*K90</f>
        <v>2580802.9500000002</v>
      </c>
      <c r="P90" s="109"/>
      <c r="Q90" s="99">
        <f>G90*L90</f>
        <v>3979936.4</v>
      </c>
      <c r="R90" s="99"/>
      <c r="S90" s="99"/>
      <c r="T90" s="98">
        <f t="shared" ref="T90:T97" si="96">SUM(N90:Q90)</f>
        <v>13859957.65</v>
      </c>
      <c r="U90" s="98">
        <f t="shared" ref="U90:V97" si="97">T90</f>
        <v>13859957.65</v>
      </c>
      <c r="V90" s="98">
        <f>U90</f>
        <v>13859957.65</v>
      </c>
      <c r="X90" s="93">
        <f>W87-U86</f>
        <v>-18893057.549999997</v>
      </c>
    </row>
    <row r="91" spans="1:371" ht="40.200000000000003" customHeight="1" x14ac:dyDescent="0.25">
      <c r="A91" s="92"/>
      <c r="B91" s="97" t="s">
        <v>336</v>
      </c>
      <c r="C91" s="895"/>
      <c r="D91" s="630" t="s">
        <v>130</v>
      </c>
      <c r="E91" s="104">
        <v>11</v>
      </c>
      <c r="F91" s="104">
        <v>8</v>
      </c>
      <c r="G91" s="104">
        <v>12</v>
      </c>
      <c r="H91" s="104">
        <v>12</v>
      </c>
      <c r="I91" s="104">
        <v>12</v>
      </c>
      <c r="J91" s="99">
        <v>132713.06</v>
      </c>
      <c r="K91" s="98">
        <f t="shared" ref="K91:K92" si="98">32326.86+14596.83</f>
        <v>46923.69</v>
      </c>
      <c r="L91" s="101">
        <v>72362.48</v>
      </c>
      <c r="M91" s="98">
        <f t="shared" si="9"/>
        <v>251999.22999999998</v>
      </c>
      <c r="N91" s="98">
        <f>G91*J91</f>
        <v>1592556.72</v>
      </c>
      <c r="O91" s="98">
        <f t="shared" ref="O91" si="99">G91*K91</f>
        <v>563084.28</v>
      </c>
      <c r="P91" s="109"/>
      <c r="Q91" s="99">
        <f t="shared" ref="Q91" si="100">G91*L91</f>
        <v>868349.76</v>
      </c>
      <c r="R91" s="99"/>
      <c r="S91" s="99"/>
      <c r="T91" s="98">
        <f>SUM(N91:Q91)</f>
        <v>3023990.76</v>
      </c>
      <c r="U91" s="98">
        <f t="shared" si="97"/>
        <v>3023990.76</v>
      </c>
      <c r="V91" s="98">
        <f t="shared" si="97"/>
        <v>3023990.76</v>
      </c>
    </row>
    <row r="92" spans="1:371" ht="39.6" customHeight="1" x14ac:dyDescent="0.25">
      <c r="A92" s="481" t="s">
        <v>582</v>
      </c>
      <c r="B92" s="97" t="s">
        <v>334</v>
      </c>
      <c r="C92" s="874"/>
      <c r="D92" s="630" t="s">
        <v>130</v>
      </c>
      <c r="E92" s="104">
        <v>1</v>
      </c>
      <c r="F92" s="104">
        <v>1</v>
      </c>
      <c r="G92" s="104">
        <v>0</v>
      </c>
      <c r="H92" s="104">
        <v>0</v>
      </c>
      <c r="I92" s="104">
        <v>0</v>
      </c>
      <c r="J92" s="99">
        <v>132713.06</v>
      </c>
      <c r="K92" s="98">
        <f t="shared" si="98"/>
        <v>46923.69</v>
      </c>
      <c r="L92" s="101">
        <v>72362.48</v>
      </c>
      <c r="M92" s="98">
        <f t="shared" si="9"/>
        <v>251999.22999999998</v>
      </c>
      <c r="N92" s="98">
        <f>G92*J92</f>
        <v>0</v>
      </c>
      <c r="O92" s="98">
        <f>G92*K92</f>
        <v>0</v>
      </c>
      <c r="P92" s="109"/>
      <c r="Q92" s="99">
        <f>G92*L92</f>
        <v>0</v>
      </c>
      <c r="R92" s="99"/>
      <c r="S92" s="99"/>
      <c r="T92" s="98">
        <f t="shared" si="96"/>
        <v>0</v>
      </c>
      <c r="U92" s="98">
        <f t="shared" si="97"/>
        <v>0</v>
      </c>
      <c r="V92" s="98">
        <f>U92</f>
        <v>0</v>
      </c>
    </row>
    <row r="93" spans="1:371" s="376" customFormat="1" ht="85.95" customHeight="1" x14ac:dyDescent="0.25">
      <c r="A93" s="730"/>
      <c r="B93" s="373" t="s">
        <v>145</v>
      </c>
      <c r="C93" s="625" t="s">
        <v>301</v>
      </c>
      <c r="D93" s="373" t="s">
        <v>130</v>
      </c>
      <c r="E93" s="374">
        <v>22</v>
      </c>
      <c r="F93" s="374">
        <f>22-7</f>
        <v>15</v>
      </c>
      <c r="G93" s="640">
        <v>15</v>
      </c>
      <c r="H93" s="374">
        <v>15</v>
      </c>
      <c r="I93" s="374">
        <v>15</v>
      </c>
      <c r="J93" s="375">
        <v>4842.07</v>
      </c>
      <c r="K93" s="375">
        <v>0</v>
      </c>
      <c r="L93" s="375">
        <v>0</v>
      </c>
      <c r="M93" s="375">
        <f t="shared" si="9"/>
        <v>4842.07</v>
      </c>
      <c r="N93" s="375">
        <f>G93*J93</f>
        <v>72631.049999999988</v>
      </c>
      <c r="O93" s="375">
        <f t="shared" ref="O93:O96" si="101">G93*K93</f>
        <v>0</v>
      </c>
      <c r="P93" s="374"/>
      <c r="Q93" s="375">
        <f>G93*L93</f>
        <v>0</v>
      </c>
      <c r="R93" s="375"/>
      <c r="S93" s="375"/>
      <c r="T93" s="375">
        <f t="shared" si="96"/>
        <v>72631.049999999988</v>
      </c>
      <c r="U93" s="375">
        <f t="shared" si="97"/>
        <v>72631.049999999988</v>
      </c>
      <c r="V93" s="375">
        <f t="shared" si="97"/>
        <v>72631.049999999988</v>
      </c>
      <c r="AD93" s="83"/>
      <c r="AE93" s="83"/>
      <c r="AF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  <c r="IX93" s="83"/>
      <c r="IY93" s="83"/>
      <c r="IZ93" s="83"/>
      <c r="JA93" s="83"/>
      <c r="JB93" s="83"/>
      <c r="JC93" s="83"/>
      <c r="JD93" s="83"/>
      <c r="JE93" s="83"/>
      <c r="JF93" s="83"/>
      <c r="JG93" s="83"/>
      <c r="JH93" s="83"/>
      <c r="JI93" s="83"/>
      <c r="JJ93" s="83"/>
      <c r="JK93" s="83"/>
      <c r="JL93" s="83"/>
      <c r="JM93" s="83"/>
      <c r="JN93" s="83"/>
      <c r="JO93" s="83"/>
      <c r="JP93" s="83"/>
      <c r="JQ93" s="83"/>
      <c r="JR93" s="83"/>
      <c r="JS93" s="83"/>
      <c r="JT93" s="83"/>
      <c r="JU93" s="83"/>
      <c r="JV93" s="83"/>
      <c r="JW93" s="83"/>
      <c r="JX93" s="83"/>
      <c r="JY93" s="83"/>
      <c r="JZ93" s="83"/>
      <c r="KA93" s="83"/>
      <c r="KB93" s="83"/>
      <c r="KC93" s="83"/>
      <c r="KD93" s="83"/>
      <c r="KE93" s="83"/>
      <c r="KF93" s="83"/>
      <c r="KG93" s="83"/>
      <c r="KH93" s="83"/>
      <c r="KI93" s="83"/>
      <c r="KJ93" s="83"/>
      <c r="KK93" s="83"/>
      <c r="KL93" s="83"/>
      <c r="KM93" s="83"/>
      <c r="KN93" s="83"/>
      <c r="KO93" s="83"/>
      <c r="KP93" s="83"/>
      <c r="KQ93" s="83"/>
      <c r="KR93" s="83"/>
      <c r="KS93" s="83"/>
      <c r="KT93" s="83"/>
      <c r="KU93" s="83"/>
      <c r="KV93" s="83"/>
      <c r="KW93" s="83"/>
      <c r="KX93" s="83"/>
      <c r="KY93" s="83"/>
      <c r="KZ93" s="83"/>
      <c r="LA93" s="83"/>
      <c r="LB93" s="83"/>
      <c r="LC93" s="83"/>
      <c r="LD93" s="83"/>
      <c r="LE93" s="83"/>
      <c r="LF93" s="83"/>
      <c r="LG93" s="83"/>
      <c r="LH93" s="83"/>
      <c r="LI93" s="83"/>
      <c r="LJ93" s="83"/>
      <c r="LK93" s="83"/>
      <c r="LL93" s="83"/>
      <c r="LM93" s="83"/>
      <c r="LN93" s="83"/>
      <c r="LO93" s="83"/>
      <c r="LP93" s="83"/>
      <c r="LQ93" s="83"/>
      <c r="LR93" s="83"/>
      <c r="LS93" s="83"/>
      <c r="LT93" s="83"/>
      <c r="LU93" s="83"/>
      <c r="LV93" s="83"/>
      <c r="LW93" s="83"/>
      <c r="LX93" s="83"/>
      <c r="LY93" s="83"/>
      <c r="LZ93" s="83"/>
      <c r="MA93" s="83"/>
      <c r="MB93" s="83"/>
      <c r="MC93" s="83"/>
      <c r="MD93" s="83"/>
      <c r="ME93" s="83"/>
      <c r="MF93" s="83"/>
      <c r="MG93" s="83"/>
      <c r="MH93" s="83"/>
      <c r="MI93" s="83"/>
      <c r="MJ93" s="83"/>
      <c r="MK93" s="83"/>
      <c r="ML93" s="83"/>
      <c r="MM93" s="83"/>
      <c r="MN93" s="83"/>
      <c r="MO93" s="83"/>
      <c r="MP93" s="83"/>
      <c r="MQ93" s="83"/>
      <c r="MR93" s="83"/>
      <c r="MS93" s="83"/>
      <c r="MT93" s="83"/>
      <c r="MU93" s="83"/>
      <c r="MV93" s="83"/>
      <c r="MW93" s="83"/>
      <c r="MX93" s="83"/>
      <c r="MY93" s="83"/>
      <c r="MZ93" s="83"/>
      <c r="NA93" s="83"/>
      <c r="NB93" s="83"/>
      <c r="NC93" s="83"/>
      <c r="ND93" s="83"/>
      <c r="NE93" s="83"/>
      <c r="NF93" s="83"/>
      <c r="NG93" s="83"/>
    </row>
    <row r="94" spans="1:371" s="376" customFormat="1" ht="105" customHeight="1" x14ac:dyDescent="0.25">
      <c r="A94" s="625"/>
      <c r="B94" s="373" t="s">
        <v>340</v>
      </c>
      <c r="C94" s="377" t="s">
        <v>595</v>
      </c>
      <c r="D94" s="373" t="s">
        <v>130</v>
      </c>
      <c r="E94" s="374">
        <v>12</v>
      </c>
      <c r="F94" s="374">
        <v>15</v>
      </c>
      <c r="G94" s="640">
        <v>15</v>
      </c>
      <c r="H94" s="374">
        <v>15</v>
      </c>
      <c r="I94" s="374">
        <v>15</v>
      </c>
      <c r="J94" s="375">
        <v>7263.1</v>
      </c>
      <c r="K94" s="375">
        <v>0</v>
      </c>
      <c r="L94" s="375">
        <v>0</v>
      </c>
      <c r="M94" s="375">
        <f t="shared" ref="M94:M173" si="102">J94+K94+L94</f>
        <v>7263.1</v>
      </c>
      <c r="N94" s="375">
        <f t="shared" si="95"/>
        <v>108946.5</v>
      </c>
      <c r="O94" s="375">
        <f t="shared" si="101"/>
        <v>0</v>
      </c>
      <c r="P94" s="374"/>
      <c r="Q94" s="375">
        <f>G94*L94</f>
        <v>0</v>
      </c>
      <c r="R94" s="375"/>
      <c r="S94" s="375"/>
      <c r="T94" s="375">
        <f t="shared" si="96"/>
        <v>108946.5</v>
      </c>
      <c r="U94" s="375">
        <f t="shared" si="97"/>
        <v>108946.5</v>
      </c>
      <c r="V94" s="375">
        <f>U94</f>
        <v>108946.5</v>
      </c>
      <c r="AD94" s="83"/>
      <c r="AE94" s="83"/>
      <c r="AF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  <c r="IX94" s="83"/>
      <c r="IY94" s="83"/>
      <c r="IZ94" s="83"/>
      <c r="JA94" s="83"/>
      <c r="JB94" s="83"/>
      <c r="JC94" s="83"/>
      <c r="JD94" s="83"/>
      <c r="JE94" s="83"/>
      <c r="JF94" s="83"/>
      <c r="JG94" s="83"/>
      <c r="JH94" s="83"/>
      <c r="JI94" s="83"/>
      <c r="JJ94" s="83"/>
      <c r="JK94" s="83"/>
      <c r="JL94" s="83"/>
      <c r="JM94" s="83"/>
      <c r="JN94" s="83"/>
      <c r="JO94" s="83"/>
      <c r="JP94" s="83"/>
      <c r="JQ94" s="83"/>
      <c r="JR94" s="83"/>
      <c r="JS94" s="83"/>
      <c r="JT94" s="83"/>
      <c r="JU94" s="83"/>
      <c r="JV94" s="83"/>
      <c r="JW94" s="83"/>
      <c r="JX94" s="83"/>
      <c r="JY94" s="83"/>
      <c r="JZ94" s="83"/>
      <c r="KA94" s="83"/>
      <c r="KB94" s="83"/>
      <c r="KC94" s="83"/>
      <c r="KD94" s="83"/>
      <c r="KE94" s="83"/>
      <c r="KF94" s="83"/>
      <c r="KG94" s="83"/>
      <c r="KH94" s="83"/>
      <c r="KI94" s="83"/>
      <c r="KJ94" s="83"/>
      <c r="KK94" s="83"/>
      <c r="KL94" s="83"/>
      <c r="KM94" s="83"/>
      <c r="KN94" s="83"/>
      <c r="KO94" s="83"/>
      <c r="KP94" s="83"/>
      <c r="KQ94" s="83"/>
      <c r="KR94" s="83"/>
      <c r="KS94" s="83"/>
      <c r="KT94" s="83"/>
      <c r="KU94" s="83"/>
      <c r="KV94" s="83"/>
      <c r="KW94" s="83"/>
      <c r="KX94" s="83"/>
      <c r="KY94" s="83"/>
      <c r="KZ94" s="83"/>
      <c r="LA94" s="83"/>
      <c r="LB94" s="83"/>
      <c r="LC94" s="83"/>
      <c r="LD94" s="83"/>
      <c r="LE94" s="83"/>
      <c r="LF94" s="83"/>
      <c r="LG94" s="83"/>
      <c r="LH94" s="83"/>
      <c r="LI94" s="83"/>
      <c r="LJ94" s="83"/>
      <c r="LK94" s="83"/>
      <c r="LL94" s="83"/>
      <c r="LM94" s="83"/>
      <c r="LN94" s="83"/>
      <c r="LO94" s="83"/>
      <c r="LP94" s="83"/>
      <c r="LQ94" s="83"/>
      <c r="LR94" s="83"/>
      <c r="LS94" s="83"/>
      <c r="LT94" s="83"/>
      <c r="LU94" s="83"/>
      <c r="LV94" s="83"/>
      <c r="LW94" s="83"/>
      <c r="LX94" s="83"/>
      <c r="LY94" s="83"/>
      <c r="LZ94" s="83"/>
      <c r="MA94" s="83"/>
      <c r="MB94" s="83"/>
      <c r="MC94" s="83"/>
      <c r="MD94" s="83"/>
      <c r="ME94" s="83"/>
      <c r="MF94" s="83"/>
      <c r="MG94" s="83"/>
      <c r="MH94" s="83"/>
      <c r="MI94" s="83"/>
      <c r="MJ94" s="83"/>
      <c r="MK94" s="83"/>
      <c r="ML94" s="83"/>
      <c r="MM94" s="83"/>
      <c r="MN94" s="83"/>
      <c r="MO94" s="83"/>
      <c r="MP94" s="83"/>
      <c r="MQ94" s="83"/>
      <c r="MR94" s="83"/>
      <c r="MS94" s="83"/>
      <c r="MT94" s="83"/>
      <c r="MU94" s="83"/>
      <c r="MV94" s="83"/>
      <c r="MW94" s="83"/>
      <c r="MX94" s="83"/>
      <c r="MY94" s="83"/>
      <c r="MZ94" s="83"/>
      <c r="NA94" s="83"/>
      <c r="NB94" s="83"/>
      <c r="NC94" s="83"/>
      <c r="ND94" s="83"/>
      <c r="NE94" s="83"/>
      <c r="NF94" s="83"/>
      <c r="NG94" s="83"/>
    </row>
    <row r="95" spans="1:371" s="376" customFormat="1" ht="47.4" customHeight="1" x14ac:dyDescent="0.25">
      <c r="A95" s="625"/>
      <c r="B95" s="373" t="s">
        <v>340</v>
      </c>
      <c r="C95" s="866" t="s">
        <v>302</v>
      </c>
      <c r="D95" s="373" t="s">
        <v>130</v>
      </c>
      <c r="E95" s="374">
        <v>11</v>
      </c>
      <c r="F95" s="374">
        <v>8</v>
      </c>
      <c r="G95" s="640">
        <v>7</v>
      </c>
      <c r="H95" s="374">
        <v>7</v>
      </c>
      <c r="I95" s="374">
        <v>7</v>
      </c>
      <c r="J95" s="375">
        <v>4842.07</v>
      </c>
      <c r="K95" s="375">
        <v>0</v>
      </c>
      <c r="L95" s="375">
        <v>0</v>
      </c>
      <c r="M95" s="375">
        <f t="shared" si="102"/>
        <v>4842.07</v>
      </c>
      <c r="N95" s="375">
        <f t="shared" si="95"/>
        <v>33894.49</v>
      </c>
      <c r="O95" s="375">
        <f t="shared" si="101"/>
        <v>0</v>
      </c>
      <c r="P95" s="374"/>
      <c r="Q95" s="375">
        <f t="shared" ref="Q95:Q96" si="103">G95*L95</f>
        <v>0</v>
      </c>
      <c r="R95" s="375"/>
      <c r="S95" s="375"/>
      <c r="T95" s="375">
        <f t="shared" si="96"/>
        <v>33894.49</v>
      </c>
      <c r="U95" s="375">
        <f t="shared" si="97"/>
        <v>33894.49</v>
      </c>
      <c r="V95" s="375">
        <f t="shared" si="97"/>
        <v>33894.49</v>
      </c>
      <c r="AD95" s="83"/>
      <c r="AE95" s="83"/>
      <c r="AF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  <c r="IX95" s="83"/>
      <c r="IY95" s="83"/>
      <c r="IZ95" s="83"/>
      <c r="JA95" s="83"/>
      <c r="JB95" s="83"/>
      <c r="JC95" s="83"/>
      <c r="JD95" s="83"/>
      <c r="JE95" s="83"/>
      <c r="JF95" s="83"/>
      <c r="JG95" s="83"/>
      <c r="JH95" s="83"/>
      <c r="JI95" s="83"/>
      <c r="JJ95" s="83"/>
      <c r="JK95" s="83"/>
      <c r="JL95" s="83"/>
      <c r="JM95" s="83"/>
      <c r="JN95" s="83"/>
      <c r="JO95" s="83"/>
      <c r="JP95" s="83"/>
      <c r="JQ95" s="83"/>
      <c r="JR95" s="83"/>
      <c r="JS95" s="83"/>
      <c r="JT95" s="83"/>
      <c r="JU95" s="83"/>
      <c r="JV95" s="83"/>
      <c r="JW95" s="83"/>
      <c r="JX95" s="83"/>
      <c r="JY95" s="83"/>
      <c r="JZ95" s="83"/>
      <c r="KA95" s="83"/>
      <c r="KB95" s="83"/>
      <c r="KC95" s="83"/>
      <c r="KD95" s="83"/>
      <c r="KE95" s="83"/>
      <c r="KF95" s="83"/>
      <c r="KG95" s="83"/>
      <c r="KH95" s="83"/>
      <c r="KI95" s="83"/>
      <c r="KJ95" s="83"/>
      <c r="KK95" s="83"/>
      <c r="KL95" s="83"/>
      <c r="KM95" s="83"/>
      <c r="KN95" s="83"/>
      <c r="KO95" s="83"/>
      <c r="KP95" s="83"/>
      <c r="KQ95" s="83"/>
      <c r="KR95" s="83"/>
      <c r="KS95" s="83"/>
      <c r="KT95" s="83"/>
      <c r="KU95" s="83"/>
      <c r="KV95" s="83"/>
      <c r="KW95" s="83"/>
      <c r="KX95" s="83"/>
      <c r="KY95" s="83"/>
      <c r="KZ95" s="83"/>
      <c r="LA95" s="83"/>
      <c r="LB95" s="83"/>
      <c r="LC95" s="83"/>
      <c r="LD95" s="83"/>
      <c r="LE95" s="83"/>
      <c r="LF95" s="83"/>
      <c r="LG95" s="83"/>
      <c r="LH95" s="83"/>
      <c r="LI95" s="83"/>
      <c r="LJ95" s="83"/>
      <c r="LK95" s="83"/>
      <c r="LL95" s="83"/>
      <c r="LM95" s="83"/>
      <c r="LN95" s="83"/>
      <c r="LO95" s="83"/>
      <c r="LP95" s="83"/>
      <c r="LQ95" s="83"/>
      <c r="LR95" s="83"/>
      <c r="LS95" s="83"/>
      <c r="LT95" s="83"/>
      <c r="LU95" s="83"/>
      <c r="LV95" s="83"/>
      <c r="LW95" s="83"/>
      <c r="LX95" s="83"/>
      <c r="LY95" s="83"/>
      <c r="LZ95" s="83"/>
      <c r="MA95" s="83"/>
      <c r="MB95" s="83"/>
      <c r="MC95" s="83"/>
      <c r="MD95" s="83"/>
      <c r="ME95" s="83"/>
      <c r="MF95" s="83"/>
      <c r="MG95" s="83"/>
      <c r="MH95" s="83"/>
      <c r="MI95" s="83"/>
      <c r="MJ95" s="83"/>
      <c r="MK95" s="83"/>
      <c r="ML95" s="83"/>
      <c r="MM95" s="83"/>
      <c r="MN95" s="83"/>
      <c r="MO95" s="83"/>
      <c r="MP95" s="83"/>
      <c r="MQ95" s="83"/>
      <c r="MR95" s="83"/>
      <c r="MS95" s="83"/>
      <c r="MT95" s="83"/>
      <c r="MU95" s="83"/>
      <c r="MV95" s="83"/>
      <c r="MW95" s="83"/>
      <c r="MX95" s="83"/>
      <c r="MY95" s="83"/>
      <c r="MZ95" s="83"/>
      <c r="NA95" s="83"/>
      <c r="NB95" s="83"/>
      <c r="NC95" s="83"/>
      <c r="ND95" s="83"/>
      <c r="NE95" s="83"/>
      <c r="NF95" s="83"/>
      <c r="NG95" s="83"/>
    </row>
    <row r="96" spans="1:371" s="376" customFormat="1" ht="43.2" customHeight="1" x14ac:dyDescent="0.25">
      <c r="A96" s="625"/>
      <c r="B96" s="373" t="s">
        <v>339</v>
      </c>
      <c r="C96" s="868"/>
      <c r="D96" s="373" t="s">
        <v>130</v>
      </c>
      <c r="E96" s="374">
        <v>60</v>
      </c>
      <c r="F96" s="374">
        <f>60-1</f>
        <v>59</v>
      </c>
      <c r="G96" s="640">
        <v>60</v>
      </c>
      <c r="H96" s="374">
        <v>60</v>
      </c>
      <c r="I96" s="374">
        <v>60</v>
      </c>
      <c r="J96" s="375">
        <v>4842.07</v>
      </c>
      <c r="K96" s="375">
        <v>0</v>
      </c>
      <c r="L96" s="375">
        <v>0</v>
      </c>
      <c r="M96" s="375">
        <f t="shared" si="102"/>
        <v>4842.07</v>
      </c>
      <c r="N96" s="375">
        <f>G96*J96</f>
        <v>290524.19999999995</v>
      </c>
      <c r="O96" s="375">
        <f t="shared" si="101"/>
        <v>0</v>
      </c>
      <c r="P96" s="374"/>
      <c r="Q96" s="375">
        <f t="shared" si="103"/>
        <v>0</v>
      </c>
      <c r="R96" s="375"/>
      <c r="S96" s="375"/>
      <c r="T96" s="375">
        <f t="shared" si="96"/>
        <v>290524.19999999995</v>
      </c>
      <c r="U96" s="375">
        <f t="shared" si="97"/>
        <v>290524.19999999995</v>
      </c>
      <c r="V96" s="375">
        <f t="shared" si="97"/>
        <v>290524.19999999995</v>
      </c>
      <c r="AD96" s="83"/>
      <c r="AE96" s="83"/>
      <c r="AF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  <c r="IX96" s="83"/>
      <c r="IY96" s="83"/>
      <c r="IZ96" s="83"/>
      <c r="JA96" s="83"/>
      <c r="JB96" s="83"/>
      <c r="JC96" s="83"/>
      <c r="JD96" s="83"/>
      <c r="JE96" s="83"/>
      <c r="JF96" s="83"/>
      <c r="JG96" s="83"/>
      <c r="JH96" s="83"/>
      <c r="JI96" s="83"/>
      <c r="JJ96" s="83"/>
      <c r="JK96" s="83"/>
      <c r="JL96" s="83"/>
      <c r="JM96" s="83"/>
      <c r="JN96" s="83"/>
      <c r="JO96" s="83"/>
      <c r="JP96" s="83"/>
      <c r="JQ96" s="83"/>
      <c r="JR96" s="83"/>
      <c r="JS96" s="83"/>
      <c r="JT96" s="83"/>
      <c r="JU96" s="83"/>
      <c r="JV96" s="83"/>
      <c r="JW96" s="83"/>
      <c r="JX96" s="83"/>
      <c r="JY96" s="83"/>
      <c r="JZ96" s="83"/>
      <c r="KA96" s="83"/>
      <c r="KB96" s="83"/>
      <c r="KC96" s="83"/>
      <c r="KD96" s="83"/>
      <c r="KE96" s="83"/>
      <c r="KF96" s="83"/>
      <c r="KG96" s="83"/>
      <c r="KH96" s="83"/>
      <c r="KI96" s="83"/>
      <c r="KJ96" s="83"/>
      <c r="KK96" s="83"/>
      <c r="KL96" s="83"/>
      <c r="KM96" s="83"/>
      <c r="KN96" s="83"/>
      <c r="KO96" s="83"/>
      <c r="KP96" s="83"/>
      <c r="KQ96" s="83"/>
      <c r="KR96" s="83"/>
      <c r="KS96" s="83"/>
      <c r="KT96" s="83"/>
      <c r="KU96" s="83"/>
      <c r="KV96" s="83"/>
      <c r="KW96" s="83"/>
      <c r="KX96" s="83"/>
      <c r="KY96" s="83"/>
      <c r="KZ96" s="83"/>
      <c r="LA96" s="83"/>
      <c r="LB96" s="83"/>
      <c r="LC96" s="83"/>
      <c r="LD96" s="83"/>
      <c r="LE96" s="83"/>
      <c r="LF96" s="83"/>
      <c r="LG96" s="83"/>
      <c r="LH96" s="83"/>
      <c r="LI96" s="83"/>
      <c r="LJ96" s="83"/>
      <c r="LK96" s="83"/>
      <c r="LL96" s="83"/>
      <c r="LM96" s="83"/>
      <c r="LN96" s="83"/>
      <c r="LO96" s="83"/>
      <c r="LP96" s="83"/>
      <c r="LQ96" s="83"/>
      <c r="LR96" s="83"/>
      <c r="LS96" s="83"/>
      <c r="LT96" s="83"/>
      <c r="LU96" s="83"/>
      <c r="LV96" s="83"/>
      <c r="LW96" s="83"/>
      <c r="LX96" s="83"/>
      <c r="LY96" s="83"/>
      <c r="LZ96" s="83"/>
      <c r="MA96" s="83"/>
      <c r="MB96" s="83"/>
      <c r="MC96" s="83"/>
      <c r="MD96" s="83"/>
      <c r="ME96" s="83"/>
      <c r="MF96" s="83"/>
      <c r="MG96" s="83"/>
      <c r="MH96" s="83"/>
      <c r="MI96" s="83"/>
      <c r="MJ96" s="83"/>
      <c r="MK96" s="83"/>
      <c r="ML96" s="83"/>
      <c r="MM96" s="83"/>
      <c r="MN96" s="83"/>
      <c r="MO96" s="83"/>
      <c r="MP96" s="83"/>
      <c r="MQ96" s="83"/>
      <c r="MR96" s="83"/>
      <c r="MS96" s="83"/>
      <c r="MT96" s="83"/>
      <c r="MU96" s="83"/>
      <c r="MV96" s="83"/>
      <c r="MW96" s="83"/>
      <c r="MX96" s="83"/>
      <c r="MY96" s="83"/>
      <c r="MZ96" s="83"/>
      <c r="NA96" s="83"/>
      <c r="NB96" s="83"/>
      <c r="NC96" s="83"/>
      <c r="ND96" s="83"/>
      <c r="NE96" s="83"/>
      <c r="NF96" s="83"/>
      <c r="NG96" s="83"/>
    </row>
    <row r="97" spans="1:29" ht="58.95" customHeight="1" x14ac:dyDescent="0.25">
      <c r="A97" s="92" t="s">
        <v>133</v>
      </c>
      <c r="B97" s="97" t="s">
        <v>134</v>
      </c>
      <c r="C97" s="97" t="s">
        <v>54</v>
      </c>
      <c r="D97" s="630" t="s">
        <v>130</v>
      </c>
      <c r="E97" s="104">
        <f>E88+E90+E91+E92+E89</f>
        <v>105</v>
      </c>
      <c r="F97" s="674">
        <f t="shared" ref="F97:I97" si="104">F88+F90+F91+F92+F89</f>
        <v>97</v>
      </c>
      <c r="G97" s="104">
        <f>G88+G90+G91+G92+G89</f>
        <v>97</v>
      </c>
      <c r="H97" s="104">
        <f t="shared" si="104"/>
        <v>97</v>
      </c>
      <c r="I97" s="104">
        <f t="shared" si="104"/>
        <v>97</v>
      </c>
      <c r="J97" s="99"/>
      <c r="K97" s="99">
        <v>0</v>
      </c>
      <c r="L97" s="101">
        <f>61511.06</f>
        <v>61511.06</v>
      </c>
      <c r="M97" s="98">
        <f t="shared" si="102"/>
        <v>61511.06</v>
      </c>
      <c r="N97" s="98">
        <f t="shared" si="95"/>
        <v>0</v>
      </c>
      <c r="O97" s="99">
        <f>G97*K97</f>
        <v>0</v>
      </c>
      <c r="P97" s="109"/>
      <c r="Q97" s="107">
        <f>G97*L97</f>
        <v>5966572.8199999994</v>
      </c>
      <c r="R97" s="99"/>
      <c r="S97" s="99"/>
      <c r="T97" s="102">
        <f t="shared" si="96"/>
        <v>5966572.8199999994</v>
      </c>
      <c r="U97" s="98">
        <f t="shared" si="97"/>
        <v>5966572.8199999994</v>
      </c>
      <c r="V97" s="98">
        <f t="shared" si="97"/>
        <v>5966572.8199999994</v>
      </c>
    </row>
    <row r="98" spans="1:29" ht="24.6" customHeight="1" x14ac:dyDescent="0.25">
      <c r="A98" s="484" t="s">
        <v>520</v>
      </c>
      <c r="B98" s="97" t="s">
        <v>134</v>
      </c>
      <c r="C98" s="97" t="s">
        <v>135</v>
      </c>
      <c r="D98" s="630"/>
      <c r="E98" s="109"/>
      <c r="F98" s="104"/>
      <c r="G98" s="113">
        <f>G97</f>
        <v>97</v>
      </c>
      <c r="H98" s="113">
        <f>H97</f>
        <v>97</v>
      </c>
      <c r="I98" s="113">
        <f>I97</f>
        <v>97</v>
      </c>
      <c r="J98" s="99"/>
      <c r="K98" s="99">
        <v>0</v>
      </c>
      <c r="L98" s="101">
        <v>20437.68</v>
      </c>
      <c r="M98" s="98">
        <f t="shared" si="102"/>
        <v>20437.68</v>
      </c>
      <c r="N98" s="109"/>
      <c r="O98" s="98"/>
      <c r="P98" s="109"/>
      <c r="Q98" s="99"/>
      <c r="R98" s="99"/>
      <c r="S98" s="107">
        <f>G98*L98</f>
        <v>1982454.96</v>
      </c>
      <c r="T98" s="102">
        <f>S98</f>
        <v>1982454.96</v>
      </c>
      <c r="U98" s="98">
        <f>T98</f>
        <v>1982454.96</v>
      </c>
      <c r="V98" s="98">
        <f>U98</f>
        <v>1982454.96</v>
      </c>
    </row>
    <row r="99" spans="1:29" ht="29.4" customHeight="1" x14ac:dyDescent="0.25">
      <c r="A99" s="96" t="s">
        <v>147</v>
      </c>
      <c r="B99" s="96"/>
      <c r="C99" s="96"/>
      <c r="D99" s="111"/>
      <c r="E99" s="112"/>
      <c r="F99" s="113"/>
      <c r="G99" s="113"/>
      <c r="H99" s="112"/>
      <c r="I99" s="112"/>
      <c r="J99" s="101"/>
      <c r="K99" s="98"/>
      <c r="L99" s="101"/>
      <c r="M99" s="98">
        <f t="shared" si="102"/>
        <v>0</v>
      </c>
      <c r="N99" s="101">
        <f>N100+N132</f>
        <v>17918906.890000004</v>
      </c>
      <c r="O99" s="101">
        <f>O100</f>
        <v>8270527.129999999</v>
      </c>
      <c r="P99" s="101"/>
      <c r="Q99" s="807">
        <f>Q100+Q129</f>
        <v>13521227.539999999</v>
      </c>
      <c r="R99" s="101"/>
      <c r="S99" s="101">
        <f>S130</f>
        <v>2064205.68</v>
      </c>
      <c r="T99" s="101">
        <f>T100+T129+T130+T132</f>
        <v>41774867.24000001</v>
      </c>
      <c r="U99" s="102">
        <f>U100+U129+U130+U132</f>
        <v>41631814.49000001</v>
      </c>
      <c r="V99" s="102">
        <f>V100+V129+V130+V132</f>
        <v>41631814.49000001</v>
      </c>
      <c r="W99" s="83">
        <v>11124194.529999999</v>
      </c>
      <c r="X99" s="93">
        <f>W99-Q99</f>
        <v>-2397033.0099999998</v>
      </c>
      <c r="Y99" s="83">
        <f>X99/G129</f>
        <v>-23733.0000990099</v>
      </c>
      <c r="AA99" s="83">
        <v>11727438.529999999</v>
      </c>
      <c r="AB99" s="93">
        <f>AA99-Q99</f>
        <v>-1793789.0099999998</v>
      </c>
      <c r="AC99" s="103">
        <f>AB99/I129</f>
        <v>-16307.172818181816</v>
      </c>
    </row>
    <row r="100" spans="1:29" ht="79.2" customHeight="1" x14ac:dyDescent="0.25">
      <c r="A100" s="92" t="s">
        <v>127</v>
      </c>
      <c r="B100" s="87" t="s">
        <v>128</v>
      </c>
      <c r="C100" s="87"/>
      <c r="D100" s="630"/>
      <c r="E100" s="109"/>
      <c r="F100" s="104"/>
      <c r="G100" s="104"/>
      <c r="H100" s="109"/>
      <c r="I100" s="109"/>
      <c r="J100" s="99"/>
      <c r="K100" s="98"/>
      <c r="L100" s="99"/>
      <c r="M100" s="98"/>
      <c r="N100" s="98">
        <f>SUM(N101:N128)</f>
        <v>17775854.140000004</v>
      </c>
      <c r="O100" s="98">
        <f>SUM(O101:O128)</f>
        <v>8270527.129999999</v>
      </c>
      <c r="P100" s="98">
        <f>P101+P116+P128+P112+P103+P124+P118+P107+P102+P113+P117+P119+P121+P125</f>
        <v>0</v>
      </c>
      <c r="Q100" s="102">
        <f>SUM(Q101:Q128)</f>
        <v>7308610.4799999995</v>
      </c>
      <c r="R100" s="98">
        <f>R101+R116+R128+R112+R103+R124+R118+R107+R102+R113+R117+R119+R121+R125</f>
        <v>0</v>
      </c>
      <c r="S100" s="98">
        <f>S101+S116+S128+S112+S103+S124+S118+S107+S102+S113+S117+S119+S121+S125</f>
        <v>0</v>
      </c>
      <c r="T100" s="102">
        <f>SUM(T101:T128)</f>
        <v>33354991.750000007</v>
      </c>
      <c r="U100" s="98">
        <f>SUM(U101:U128)</f>
        <v>33354991.750000007</v>
      </c>
      <c r="V100" s="98">
        <f>SUM(V101:V128)</f>
        <v>33354991.750000007</v>
      </c>
      <c r="W100" s="93">
        <v>35333149.530000001</v>
      </c>
      <c r="AA100" s="93">
        <f>35333149.53+U130</f>
        <v>37397355.210000001</v>
      </c>
      <c r="AB100" s="93">
        <f>U99-AA100</f>
        <v>4234459.2800000086</v>
      </c>
    </row>
    <row r="101" spans="1:29" ht="58.95" customHeight="1" x14ac:dyDescent="0.25">
      <c r="A101" s="92"/>
      <c r="B101" s="97" t="s">
        <v>129</v>
      </c>
      <c r="C101" s="863" t="s">
        <v>453</v>
      </c>
      <c r="D101" s="630" t="s">
        <v>130</v>
      </c>
      <c r="E101" s="104">
        <v>0</v>
      </c>
      <c r="F101" s="113">
        <v>0</v>
      </c>
      <c r="G101" s="104">
        <v>0</v>
      </c>
      <c r="H101" s="104">
        <v>0</v>
      </c>
      <c r="I101" s="104">
        <v>0</v>
      </c>
      <c r="J101" s="99">
        <v>86493.99</v>
      </c>
      <c r="K101" s="98">
        <f>33955.33+14682.07</f>
        <v>48637.4</v>
      </c>
      <c r="L101" s="101">
        <v>72362.48</v>
      </c>
      <c r="M101" s="98">
        <f t="shared" si="102"/>
        <v>207493.87</v>
      </c>
      <c r="N101" s="98">
        <f>G101*J101</f>
        <v>0</v>
      </c>
      <c r="O101" s="98">
        <f>G101*K101</f>
        <v>0</v>
      </c>
      <c r="P101" s="98"/>
      <c r="Q101" s="99">
        <f t="shared" ref="Q101:Q128" si="105">G101*L101</f>
        <v>0</v>
      </c>
      <c r="R101" s="99"/>
      <c r="S101" s="99"/>
      <c r="T101" s="98">
        <f>SUM(N101:Q101)</f>
        <v>0</v>
      </c>
      <c r="U101" s="98">
        <f t="shared" ref="U101:V129" si="106">T101</f>
        <v>0</v>
      </c>
      <c r="V101" s="98">
        <f t="shared" si="106"/>
        <v>0</v>
      </c>
      <c r="X101" s="93">
        <f>W100-U99</f>
        <v>-6298664.9600000083</v>
      </c>
      <c r="AA101" s="93"/>
    </row>
    <row r="102" spans="1:29" ht="43.95" customHeight="1" x14ac:dyDescent="0.25">
      <c r="A102" s="92"/>
      <c r="B102" s="97" t="s">
        <v>356</v>
      </c>
      <c r="C102" s="865"/>
      <c r="D102" s="630" t="s">
        <v>130</v>
      </c>
      <c r="E102" s="104">
        <v>0</v>
      </c>
      <c r="F102" s="113">
        <v>0</v>
      </c>
      <c r="G102" s="104">
        <v>0</v>
      </c>
      <c r="H102" s="104">
        <v>0</v>
      </c>
      <c r="I102" s="104">
        <v>0</v>
      </c>
      <c r="J102" s="99">
        <v>62820.88</v>
      </c>
      <c r="K102" s="98">
        <f>33955.33+14682.07</f>
        <v>48637.4</v>
      </c>
      <c r="L102" s="101">
        <v>72362.48</v>
      </c>
      <c r="M102" s="98">
        <f t="shared" si="102"/>
        <v>183820.76</v>
      </c>
      <c r="N102" s="98">
        <f t="shared" ref="N102:N125" si="107">G102*J102</f>
        <v>0</v>
      </c>
      <c r="O102" s="98">
        <f t="shared" ref="O102:O116" si="108">G102*K102</f>
        <v>0</v>
      </c>
      <c r="P102" s="98"/>
      <c r="Q102" s="99">
        <f t="shared" si="105"/>
        <v>0</v>
      </c>
      <c r="R102" s="99"/>
      <c r="S102" s="99"/>
      <c r="T102" s="98">
        <f t="shared" ref="T102:T128" si="109">SUM(N102:Q102)</f>
        <v>0</v>
      </c>
      <c r="U102" s="98">
        <f t="shared" si="106"/>
        <v>0</v>
      </c>
      <c r="V102" s="98">
        <f t="shared" si="106"/>
        <v>0</v>
      </c>
      <c r="X102" s="93"/>
      <c r="AA102" s="93"/>
    </row>
    <row r="103" spans="1:29" ht="20.399999999999999" customHeight="1" x14ac:dyDescent="0.25">
      <c r="A103" s="92"/>
      <c r="B103" s="97" t="s">
        <v>336</v>
      </c>
      <c r="C103" s="863" t="s">
        <v>610</v>
      </c>
      <c r="D103" s="630" t="s">
        <v>130</v>
      </c>
      <c r="E103" s="104">
        <v>26</v>
      </c>
      <c r="F103" s="580">
        <f>14</f>
        <v>14</v>
      </c>
      <c r="G103" s="104">
        <v>13</v>
      </c>
      <c r="H103" s="104">
        <v>13</v>
      </c>
      <c r="I103" s="104">
        <v>13</v>
      </c>
      <c r="J103" s="808">
        <v>245948.56</v>
      </c>
      <c r="K103" s="98">
        <f>70240.51+15452.52*2</f>
        <v>101145.54999999999</v>
      </c>
      <c r="L103" s="101">
        <v>72362.48</v>
      </c>
      <c r="M103" s="98">
        <f t="shared" si="102"/>
        <v>419456.58999999997</v>
      </c>
      <c r="N103" s="98">
        <f>G103*J103</f>
        <v>3197331.28</v>
      </c>
      <c r="O103" s="98">
        <f>G103*K103+159699.9</f>
        <v>1474592.0499999998</v>
      </c>
      <c r="P103" s="109"/>
      <c r="Q103" s="99">
        <f t="shared" si="105"/>
        <v>940712.24</v>
      </c>
      <c r="R103" s="99"/>
      <c r="S103" s="99"/>
      <c r="T103" s="98">
        <f t="shared" si="109"/>
        <v>5612635.5700000003</v>
      </c>
      <c r="U103" s="98">
        <f t="shared" si="106"/>
        <v>5612635.5700000003</v>
      </c>
      <c r="V103" s="98">
        <f t="shared" si="106"/>
        <v>5612635.5700000003</v>
      </c>
    </row>
    <row r="104" spans="1:29" ht="20.399999999999999" customHeight="1" x14ac:dyDescent="0.25">
      <c r="A104" s="92"/>
      <c r="B104" s="97" t="s">
        <v>537</v>
      </c>
      <c r="C104" s="864"/>
      <c r="D104" s="630"/>
      <c r="E104" s="104">
        <v>0</v>
      </c>
      <c r="F104" s="580">
        <v>2</v>
      </c>
      <c r="G104" s="104">
        <v>0</v>
      </c>
      <c r="H104" s="104">
        <v>0</v>
      </c>
      <c r="I104" s="104">
        <v>0</v>
      </c>
      <c r="J104" s="375">
        <v>490621.77</v>
      </c>
      <c r="K104" s="98">
        <f>157189.95+15452.52*4</f>
        <v>219000.03000000003</v>
      </c>
      <c r="L104" s="101">
        <v>72362.48</v>
      </c>
      <c r="M104" s="98">
        <f t="shared" ref="M104" si="110">J104+K104+L104</f>
        <v>781984.28</v>
      </c>
      <c r="N104" s="98">
        <f>G104*J104</f>
        <v>0</v>
      </c>
      <c r="O104" s="98">
        <f>G104*K104+159699.9</f>
        <v>159699.9</v>
      </c>
      <c r="P104" s="109"/>
      <c r="Q104" s="99">
        <f t="shared" ref="Q104" si="111">G104*L104</f>
        <v>0</v>
      </c>
      <c r="R104" s="99"/>
      <c r="S104" s="99"/>
      <c r="T104" s="98">
        <f t="shared" ref="T104" si="112">SUM(N104:Q104)</f>
        <v>159699.9</v>
      </c>
      <c r="U104" s="98">
        <f t="shared" ref="U104" si="113">T104</f>
        <v>159699.9</v>
      </c>
      <c r="V104" s="98">
        <f t="shared" ref="V104" si="114">U104</f>
        <v>159699.9</v>
      </c>
    </row>
    <row r="105" spans="1:29" ht="20.399999999999999" customHeight="1" x14ac:dyDescent="0.25">
      <c r="A105" s="373" t="s">
        <v>345</v>
      </c>
      <c r="B105" s="97" t="s">
        <v>537</v>
      </c>
      <c r="C105" s="864"/>
      <c r="D105" s="630"/>
      <c r="E105" s="104">
        <v>0</v>
      </c>
      <c r="F105" s="580">
        <v>5</v>
      </c>
      <c r="G105" s="104">
        <v>0</v>
      </c>
      <c r="H105" s="104">
        <v>0</v>
      </c>
      <c r="I105" s="104">
        <v>0</v>
      </c>
      <c r="J105" s="375">
        <v>490621.77</v>
      </c>
      <c r="K105" s="98">
        <f>157189.95+15452.52*4+257654.9</f>
        <v>476654.93000000005</v>
      </c>
      <c r="L105" s="101">
        <v>72362.48</v>
      </c>
      <c r="M105" s="98">
        <f t="shared" ref="M105" si="115">J105+K105+L105</f>
        <v>1039639.18</v>
      </c>
      <c r="N105" s="98">
        <f>G105*J105</f>
        <v>0</v>
      </c>
      <c r="O105" s="98">
        <f>G105*K105+159699.9</f>
        <v>159699.9</v>
      </c>
      <c r="P105" s="109"/>
      <c r="Q105" s="99">
        <f t="shared" ref="Q105" si="116">G105*L105</f>
        <v>0</v>
      </c>
      <c r="R105" s="99"/>
      <c r="S105" s="99"/>
      <c r="T105" s="98">
        <f t="shared" ref="T105" si="117">SUM(N105:Q105)</f>
        <v>159699.9</v>
      </c>
      <c r="U105" s="98">
        <f t="shared" ref="U105" si="118">T105</f>
        <v>159699.9</v>
      </c>
      <c r="V105" s="98">
        <f t="shared" ref="V105" si="119">U105</f>
        <v>159699.9</v>
      </c>
    </row>
    <row r="106" spans="1:29" ht="25.2" customHeight="1" x14ac:dyDescent="0.25">
      <c r="A106" s="373" t="s">
        <v>345</v>
      </c>
      <c r="B106" s="97" t="s">
        <v>454</v>
      </c>
      <c r="C106" s="895"/>
      <c r="D106" s="630" t="s">
        <v>130</v>
      </c>
      <c r="E106" s="104">
        <v>1</v>
      </c>
      <c r="F106" s="580">
        <v>0</v>
      </c>
      <c r="G106" s="104">
        <v>0</v>
      </c>
      <c r="H106" s="104">
        <v>0</v>
      </c>
      <c r="I106" s="104">
        <v>0</v>
      </c>
      <c r="J106" s="375">
        <v>307116.86</v>
      </c>
      <c r="K106" s="98">
        <f>116987.52+15452.52*2.5+257654.9</f>
        <v>413273.72</v>
      </c>
      <c r="L106" s="101">
        <v>72362.48</v>
      </c>
      <c r="M106" s="98">
        <f t="shared" si="102"/>
        <v>792753.05999999994</v>
      </c>
      <c r="N106" s="98">
        <f>G106*J106</f>
        <v>0</v>
      </c>
      <c r="O106" s="98">
        <f t="shared" si="108"/>
        <v>0</v>
      </c>
      <c r="P106" s="98"/>
      <c r="Q106" s="99">
        <f t="shared" si="105"/>
        <v>0</v>
      </c>
      <c r="R106" s="99"/>
      <c r="S106" s="99"/>
      <c r="T106" s="98">
        <f t="shared" si="109"/>
        <v>0</v>
      </c>
      <c r="U106" s="98">
        <f t="shared" si="106"/>
        <v>0</v>
      </c>
      <c r="V106" s="98">
        <f t="shared" si="106"/>
        <v>0</v>
      </c>
    </row>
    <row r="107" spans="1:29" ht="25.95" customHeight="1" x14ac:dyDescent="0.25">
      <c r="A107" s="373" t="s">
        <v>345</v>
      </c>
      <c r="B107" s="97" t="s">
        <v>343</v>
      </c>
      <c r="C107" s="895"/>
      <c r="D107" s="630" t="s">
        <v>130</v>
      </c>
      <c r="E107" s="104">
        <v>5</v>
      </c>
      <c r="F107" s="580">
        <f>5</f>
        <v>5</v>
      </c>
      <c r="G107" s="104">
        <v>2</v>
      </c>
      <c r="H107" s="104">
        <v>2</v>
      </c>
      <c r="I107" s="104">
        <v>2</v>
      </c>
      <c r="J107" s="375">
        <v>307116.86</v>
      </c>
      <c r="K107" s="98">
        <f>87770.64+15452.52*2.5+257654.9</f>
        <v>384056.83999999997</v>
      </c>
      <c r="L107" s="101">
        <v>72362.48</v>
      </c>
      <c r="M107" s="98">
        <f t="shared" si="102"/>
        <v>763536.17999999993</v>
      </c>
      <c r="N107" s="98">
        <f>G107*J107</f>
        <v>614233.72</v>
      </c>
      <c r="O107" s="98">
        <f>G107*K107+652348.14+494758.22-159699.9-1032760.04-230454.08+0.05</f>
        <v>492306.06999999989</v>
      </c>
      <c r="P107" s="98"/>
      <c r="Q107" s="99">
        <f t="shared" si="105"/>
        <v>144724.96</v>
      </c>
      <c r="R107" s="99"/>
      <c r="S107" s="99"/>
      <c r="T107" s="98">
        <f t="shared" si="109"/>
        <v>1251264.7499999998</v>
      </c>
      <c r="U107" s="98">
        <f t="shared" si="106"/>
        <v>1251264.7499999998</v>
      </c>
      <c r="V107" s="98">
        <f t="shared" si="106"/>
        <v>1251264.7499999998</v>
      </c>
    </row>
    <row r="108" spans="1:29" ht="25.2" customHeight="1" x14ac:dyDescent="0.25">
      <c r="A108" s="373" t="s">
        <v>345</v>
      </c>
      <c r="B108" s="97" t="s">
        <v>357</v>
      </c>
      <c r="C108" s="895"/>
      <c r="D108" s="630" t="s">
        <v>130</v>
      </c>
      <c r="E108" s="104">
        <v>2</v>
      </c>
      <c r="F108" s="580">
        <v>0</v>
      </c>
      <c r="G108" s="104">
        <v>3</v>
      </c>
      <c r="H108" s="104">
        <v>3</v>
      </c>
      <c r="I108" s="104">
        <v>3</v>
      </c>
      <c r="J108" s="99">
        <v>245948.56</v>
      </c>
      <c r="K108" s="98">
        <f>70240.51+15452.52*2</f>
        <v>101145.54999999999</v>
      </c>
      <c r="L108" s="101">
        <v>72362.48</v>
      </c>
      <c r="M108" s="98">
        <f t="shared" si="102"/>
        <v>419456.58999999997</v>
      </c>
      <c r="N108" s="98">
        <f t="shared" ref="N108:N117" si="120">G108*J108</f>
        <v>737845.67999999993</v>
      </c>
      <c r="O108" s="98">
        <f t="shared" si="108"/>
        <v>303436.64999999997</v>
      </c>
      <c r="P108" s="98"/>
      <c r="Q108" s="99">
        <f t="shared" si="105"/>
        <v>217087.44</v>
      </c>
      <c r="R108" s="99"/>
      <c r="S108" s="99"/>
      <c r="T108" s="98">
        <f t="shared" si="109"/>
        <v>1258369.7699999998</v>
      </c>
      <c r="U108" s="98">
        <f t="shared" si="106"/>
        <v>1258369.7699999998</v>
      </c>
      <c r="V108" s="98">
        <f t="shared" si="106"/>
        <v>1258369.7699999998</v>
      </c>
    </row>
    <row r="109" spans="1:29" ht="25.2" customHeight="1" x14ac:dyDescent="0.25">
      <c r="A109" s="373" t="s">
        <v>345</v>
      </c>
      <c r="B109" s="97" t="s">
        <v>629</v>
      </c>
      <c r="C109" s="895"/>
      <c r="D109" s="630" t="s">
        <v>130</v>
      </c>
      <c r="E109" s="104">
        <v>0</v>
      </c>
      <c r="F109" s="580">
        <f>8-7</f>
        <v>1</v>
      </c>
      <c r="G109" s="104">
        <v>2</v>
      </c>
      <c r="H109" s="104">
        <v>2</v>
      </c>
      <c r="I109" s="104">
        <v>2</v>
      </c>
      <c r="J109" s="375">
        <v>490621.77</v>
      </c>
      <c r="K109" s="98">
        <f>157189.95+15452.52*4+280482.05</f>
        <v>499482.08</v>
      </c>
      <c r="L109" s="101">
        <v>72362.48</v>
      </c>
      <c r="M109" s="98">
        <f t="shared" ref="M109" si="121">J109+K109+L109</f>
        <v>1062466.33</v>
      </c>
      <c r="N109" s="98">
        <f>G109*J109</f>
        <v>981243.54</v>
      </c>
      <c r="O109" s="98">
        <f>G109*K109</f>
        <v>998964.16</v>
      </c>
      <c r="P109" s="98"/>
      <c r="Q109" s="99">
        <f t="shared" ref="Q109" si="122">G109*L109</f>
        <v>144724.96</v>
      </c>
      <c r="R109" s="99"/>
      <c r="S109" s="99"/>
      <c r="T109" s="98">
        <f t="shared" ref="T109" si="123">SUM(N109:Q109)</f>
        <v>2124932.66</v>
      </c>
      <c r="U109" s="98">
        <f t="shared" ref="U109" si="124">T109</f>
        <v>2124932.66</v>
      </c>
      <c r="V109" s="98">
        <f t="shared" ref="V109" si="125">U109</f>
        <v>2124932.66</v>
      </c>
    </row>
    <row r="110" spans="1:29" ht="22.95" customHeight="1" x14ac:dyDescent="0.25">
      <c r="A110" s="373" t="s">
        <v>345</v>
      </c>
      <c r="B110" s="97" t="s">
        <v>332</v>
      </c>
      <c r="C110" s="895"/>
      <c r="D110" s="630" t="s">
        <v>130</v>
      </c>
      <c r="E110" s="104">
        <v>1</v>
      </c>
      <c r="F110" s="580">
        <v>0</v>
      </c>
      <c r="G110" s="104">
        <v>1</v>
      </c>
      <c r="H110" s="104">
        <v>1</v>
      </c>
      <c r="I110" s="104">
        <v>1</v>
      </c>
      <c r="J110" s="101">
        <v>396958.87</v>
      </c>
      <c r="K110" s="98">
        <f>84708.34+14682.07*2.5+203012.01</f>
        <v>324425.52500000002</v>
      </c>
      <c r="L110" s="101">
        <v>72362.48</v>
      </c>
      <c r="M110" s="98">
        <f t="shared" si="102"/>
        <v>793746.875</v>
      </c>
      <c r="N110" s="98">
        <f t="shared" si="120"/>
        <v>396958.87</v>
      </c>
      <c r="O110" s="98">
        <f t="shared" si="108"/>
        <v>324425.52500000002</v>
      </c>
      <c r="P110" s="98"/>
      <c r="Q110" s="99">
        <f t="shared" si="105"/>
        <v>72362.48</v>
      </c>
      <c r="R110" s="99"/>
      <c r="S110" s="99"/>
      <c r="T110" s="98">
        <f t="shared" si="109"/>
        <v>793746.875</v>
      </c>
      <c r="U110" s="98">
        <f t="shared" si="106"/>
        <v>793746.875</v>
      </c>
      <c r="V110" s="98">
        <f t="shared" si="106"/>
        <v>793746.875</v>
      </c>
    </row>
    <row r="111" spans="1:29" ht="25.2" customHeight="1" x14ac:dyDescent="0.25">
      <c r="A111" s="97"/>
      <c r="B111" s="92" t="s">
        <v>455</v>
      </c>
      <c r="C111" s="895"/>
      <c r="D111" s="630" t="s">
        <v>130</v>
      </c>
      <c r="E111" s="104">
        <v>4</v>
      </c>
      <c r="F111" s="580">
        <v>0</v>
      </c>
      <c r="G111" s="104">
        <v>0</v>
      </c>
      <c r="H111" s="104">
        <v>0</v>
      </c>
      <c r="I111" s="104">
        <v>0</v>
      </c>
      <c r="J111" s="99">
        <v>245948.56</v>
      </c>
      <c r="K111" s="98">
        <f>70240.51+15452.52*2</f>
        <v>101145.54999999999</v>
      </c>
      <c r="L111" s="101">
        <v>72362.48</v>
      </c>
      <c r="M111" s="98">
        <f t="shared" si="102"/>
        <v>419456.58999999997</v>
      </c>
      <c r="N111" s="98">
        <f t="shared" si="120"/>
        <v>0</v>
      </c>
      <c r="O111" s="98">
        <f>G111*K111</f>
        <v>0</v>
      </c>
      <c r="P111" s="98"/>
      <c r="Q111" s="99">
        <f t="shared" si="105"/>
        <v>0</v>
      </c>
      <c r="R111" s="99"/>
      <c r="S111" s="99"/>
      <c r="T111" s="98">
        <f t="shared" si="109"/>
        <v>0</v>
      </c>
      <c r="U111" s="98">
        <f t="shared" si="106"/>
        <v>0</v>
      </c>
      <c r="V111" s="98">
        <f t="shared" si="106"/>
        <v>0</v>
      </c>
    </row>
    <row r="112" spans="1:29" ht="18" customHeight="1" x14ac:dyDescent="0.25">
      <c r="A112" s="97"/>
      <c r="B112" s="92" t="s">
        <v>474</v>
      </c>
      <c r="C112" s="874"/>
      <c r="D112" s="630" t="s">
        <v>130</v>
      </c>
      <c r="E112" s="104">
        <v>12</v>
      </c>
      <c r="F112" s="580">
        <v>0</v>
      </c>
      <c r="G112" s="104">
        <v>0</v>
      </c>
      <c r="H112" s="104">
        <v>0</v>
      </c>
      <c r="I112" s="104">
        <v>0</v>
      </c>
      <c r="J112" s="99">
        <v>396958.87</v>
      </c>
      <c r="K112" s="98">
        <f>70240.51+15452.52*2</f>
        <v>101145.54999999999</v>
      </c>
      <c r="L112" s="101">
        <v>72362.48</v>
      </c>
      <c r="M112" s="98">
        <f t="shared" si="102"/>
        <v>570466.9</v>
      </c>
      <c r="N112" s="98">
        <f>G112*J112</f>
        <v>0</v>
      </c>
      <c r="O112" s="98">
        <f>G112*K112</f>
        <v>0</v>
      </c>
      <c r="P112" s="98"/>
      <c r="Q112" s="99">
        <f t="shared" si="105"/>
        <v>0</v>
      </c>
      <c r="R112" s="99"/>
      <c r="S112" s="99"/>
      <c r="T112" s="98">
        <f t="shared" si="109"/>
        <v>0</v>
      </c>
      <c r="U112" s="98">
        <f t="shared" si="106"/>
        <v>0</v>
      </c>
      <c r="V112" s="98">
        <f t="shared" si="106"/>
        <v>0</v>
      </c>
    </row>
    <row r="113" spans="1:514" ht="33.6" customHeight="1" x14ac:dyDescent="0.25">
      <c r="A113" s="97"/>
      <c r="B113" s="97" t="s">
        <v>340</v>
      </c>
      <c r="C113" s="863" t="s">
        <v>613</v>
      </c>
      <c r="D113" s="630" t="s">
        <v>130</v>
      </c>
      <c r="E113" s="104">
        <v>17</v>
      </c>
      <c r="F113" s="580">
        <v>17</v>
      </c>
      <c r="G113" s="104">
        <f>17+29</f>
        <v>46</v>
      </c>
      <c r="H113" s="104">
        <v>46</v>
      </c>
      <c r="I113" s="104">
        <v>46</v>
      </c>
      <c r="J113" s="99">
        <v>132713.06</v>
      </c>
      <c r="K113" s="98">
        <f t="shared" ref="K113:K114" si="126">32326.86+18402.51</f>
        <v>50729.369999999995</v>
      </c>
      <c r="L113" s="101">
        <v>72362.48</v>
      </c>
      <c r="M113" s="98">
        <f t="shared" si="102"/>
        <v>255804.90999999997</v>
      </c>
      <c r="N113" s="98">
        <f t="shared" si="120"/>
        <v>6104800.7599999998</v>
      </c>
      <c r="O113" s="98">
        <f t="shared" si="108"/>
        <v>2333551.0199999996</v>
      </c>
      <c r="P113" s="98"/>
      <c r="Q113" s="99">
        <f t="shared" si="105"/>
        <v>3328674.0799999996</v>
      </c>
      <c r="R113" s="99"/>
      <c r="S113" s="99"/>
      <c r="T113" s="98">
        <f t="shared" si="109"/>
        <v>11767025.859999999</v>
      </c>
      <c r="U113" s="98">
        <f t="shared" si="106"/>
        <v>11767025.859999999</v>
      </c>
      <c r="V113" s="98">
        <f t="shared" si="106"/>
        <v>11767025.859999999</v>
      </c>
    </row>
    <row r="114" spans="1:514" ht="36" customHeight="1" x14ac:dyDescent="0.25">
      <c r="A114" s="97"/>
      <c r="B114" s="97" t="s">
        <v>340</v>
      </c>
      <c r="C114" s="864"/>
      <c r="D114" s="630" t="s">
        <v>130</v>
      </c>
      <c r="E114" s="104">
        <v>2</v>
      </c>
      <c r="F114" s="580">
        <v>2</v>
      </c>
      <c r="G114" s="104">
        <v>3</v>
      </c>
      <c r="H114" s="104">
        <v>3</v>
      </c>
      <c r="I114" s="104">
        <v>3</v>
      </c>
      <c r="J114" s="99">
        <v>132713.06</v>
      </c>
      <c r="K114" s="98">
        <f t="shared" si="126"/>
        <v>50729.369999999995</v>
      </c>
      <c r="L114" s="101">
        <v>72362.48</v>
      </c>
      <c r="M114" s="98">
        <f t="shared" ref="M114" si="127">J114+K114+L114</f>
        <v>255804.90999999997</v>
      </c>
      <c r="N114" s="98">
        <f t="shared" ref="N114" si="128">G114*J114</f>
        <v>398139.18</v>
      </c>
      <c r="O114" s="98">
        <f t="shared" ref="O114" si="129">G114*K114</f>
        <v>152188.10999999999</v>
      </c>
      <c r="P114" s="98"/>
      <c r="Q114" s="99">
        <f t="shared" ref="Q114" si="130">G114*L114</f>
        <v>217087.44</v>
      </c>
      <c r="R114" s="99"/>
      <c r="S114" s="99"/>
      <c r="T114" s="98">
        <f t="shared" ref="T114" si="131">SUM(N114:Q114)</f>
        <v>767414.73</v>
      </c>
      <c r="U114" s="98">
        <f t="shared" ref="U114" si="132">T114</f>
        <v>767414.73</v>
      </c>
      <c r="V114" s="98">
        <f t="shared" ref="V114" si="133">U114</f>
        <v>767414.73</v>
      </c>
    </row>
    <row r="115" spans="1:514" ht="34.200000000000003" customHeight="1" x14ac:dyDescent="0.25">
      <c r="A115" s="97"/>
      <c r="B115" s="97" t="s">
        <v>334</v>
      </c>
      <c r="C115" s="864"/>
      <c r="D115" s="630" t="s">
        <v>130</v>
      </c>
      <c r="E115" s="104">
        <v>28</v>
      </c>
      <c r="F115" s="580">
        <v>41</v>
      </c>
      <c r="G115" s="113">
        <f>24-8</f>
        <v>16</v>
      </c>
      <c r="H115" s="104">
        <v>24</v>
      </c>
      <c r="I115" s="104">
        <v>24</v>
      </c>
      <c r="J115" s="99">
        <v>132713.06</v>
      </c>
      <c r="K115" s="98">
        <f>32326.86+18402.51</f>
        <v>50729.369999999995</v>
      </c>
      <c r="L115" s="101">
        <v>72362.48</v>
      </c>
      <c r="M115" s="98">
        <f t="shared" si="102"/>
        <v>255804.90999999997</v>
      </c>
      <c r="N115" s="98">
        <f t="shared" si="120"/>
        <v>2123408.96</v>
      </c>
      <c r="O115" s="98">
        <f t="shared" si="108"/>
        <v>811669.91999999993</v>
      </c>
      <c r="P115" s="98"/>
      <c r="Q115" s="99">
        <f t="shared" si="105"/>
        <v>1157799.68</v>
      </c>
      <c r="R115" s="99"/>
      <c r="S115" s="99"/>
      <c r="T115" s="98">
        <f t="shared" si="109"/>
        <v>4092878.5599999996</v>
      </c>
      <c r="U115" s="98">
        <f t="shared" si="106"/>
        <v>4092878.5599999996</v>
      </c>
      <c r="V115" s="98">
        <f t="shared" si="106"/>
        <v>4092878.5599999996</v>
      </c>
    </row>
    <row r="116" spans="1:514" ht="30" customHeight="1" x14ac:dyDescent="0.25">
      <c r="A116" s="97"/>
      <c r="B116" s="97" t="s">
        <v>129</v>
      </c>
      <c r="C116" s="865"/>
      <c r="D116" s="630" t="s">
        <v>130</v>
      </c>
      <c r="E116" s="104">
        <v>17</v>
      </c>
      <c r="F116" s="580">
        <f>14</f>
        <v>14</v>
      </c>
      <c r="G116" s="113">
        <f>16-1</f>
        <v>15</v>
      </c>
      <c r="H116" s="104">
        <v>16</v>
      </c>
      <c r="I116" s="104">
        <v>16</v>
      </c>
      <c r="J116" s="99">
        <v>175329.95</v>
      </c>
      <c r="K116" s="98">
        <f>43062.49+18402.51*1.5</f>
        <v>70666.255000000005</v>
      </c>
      <c r="L116" s="101">
        <v>72362.48</v>
      </c>
      <c r="M116" s="98">
        <f t="shared" si="102"/>
        <v>318358.685</v>
      </c>
      <c r="N116" s="98">
        <f t="shared" si="120"/>
        <v>2629949.25</v>
      </c>
      <c r="O116" s="98">
        <f t="shared" si="108"/>
        <v>1059993.8250000002</v>
      </c>
      <c r="P116" s="98"/>
      <c r="Q116" s="99">
        <f t="shared" si="105"/>
        <v>1085437.2</v>
      </c>
      <c r="R116" s="99"/>
      <c r="S116" s="99"/>
      <c r="T116" s="98">
        <f t="shared" si="109"/>
        <v>4775380.2750000004</v>
      </c>
      <c r="U116" s="98">
        <f t="shared" si="106"/>
        <v>4775380.2750000004</v>
      </c>
      <c r="V116" s="98">
        <f t="shared" si="106"/>
        <v>4775380.2750000004</v>
      </c>
    </row>
    <row r="117" spans="1:514" s="376" customFormat="1" ht="41.4" customHeight="1" x14ac:dyDescent="0.25">
      <c r="A117" s="373"/>
      <c r="B117" s="373" t="s">
        <v>129</v>
      </c>
      <c r="C117" s="866" t="s">
        <v>456</v>
      </c>
      <c r="D117" s="373" t="s">
        <v>130</v>
      </c>
      <c r="E117" s="374">
        <v>0</v>
      </c>
      <c r="F117" s="374">
        <v>0</v>
      </c>
      <c r="G117" s="640">
        <v>0</v>
      </c>
      <c r="H117" s="374">
        <v>0</v>
      </c>
      <c r="I117" s="374">
        <v>0</v>
      </c>
      <c r="J117" s="375">
        <v>4842.07</v>
      </c>
      <c r="K117" s="375">
        <v>0</v>
      </c>
      <c r="L117" s="375">
        <v>0</v>
      </c>
      <c r="M117" s="375">
        <f>J117+K117+L117</f>
        <v>4842.07</v>
      </c>
      <c r="N117" s="375">
        <f t="shared" si="120"/>
        <v>0</v>
      </c>
      <c r="O117" s="375">
        <f>G117*K117</f>
        <v>0</v>
      </c>
      <c r="P117" s="375"/>
      <c r="Q117" s="375">
        <f>G117*L117</f>
        <v>0</v>
      </c>
      <c r="R117" s="375"/>
      <c r="S117" s="375"/>
      <c r="T117" s="375">
        <f t="shared" ref="T117" si="134">SUM(N117:Q117)</f>
        <v>0</v>
      </c>
      <c r="U117" s="375">
        <f t="shared" si="106"/>
        <v>0</v>
      </c>
      <c r="V117" s="375">
        <f t="shared" si="106"/>
        <v>0</v>
      </c>
      <c r="AD117" s="83"/>
      <c r="AE117" s="83"/>
      <c r="AF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  <c r="HJ117" s="83"/>
      <c r="HK117" s="83"/>
      <c r="HL117" s="83"/>
      <c r="HM117" s="83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  <c r="IW117" s="83"/>
      <c r="IX117" s="83"/>
      <c r="IY117" s="83"/>
      <c r="IZ117" s="83"/>
      <c r="JA117" s="83"/>
      <c r="JB117" s="83"/>
      <c r="JC117" s="83"/>
      <c r="JD117" s="83"/>
      <c r="JE117" s="83"/>
      <c r="JF117" s="83"/>
      <c r="JG117" s="83"/>
      <c r="JH117" s="83"/>
      <c r="JI117" s="83"/>
      <c r="JJ117" s="83"/>
      <c r="JK117" s="83"/>
      <c r="JL117" s="83"/>
      <c r="JM117" s="83"/>
      <c r="JN117" s="83"/>
      <c r="JO117" s="83"/>
      <c r="JP117" s="83"/>
      <c r="JQ117" s="83"/>
      <c r="JR117" s="83"/>
      <c r="JS117" s="83"/>
      <c r="JT117" s="83"/>
      <c r="JU117" s="83"/>
      <c r="JV117" s="83"/>
      <c r="JW117" s="83"/>
      <c r="JX117" s="83"/>
      <c r="JY117" s="83"/>
      <c r="JZ117" s="83"/>
      <c r="KA117" s="83"/>
      <c r="KB117" s="83"/>
      <c r="KC117" s="83"/>
      <c r="KD117" s="83"/>
      <c r="KE117" s="83"/>
      <c r="KF117" s="83"/>
      <c r="KG117" s="83"/>
      <c r="KH117" s="83"/>
      <c r="KI117" s="83"/>
      <c r="KJ117" s="83"/>
      <c r="KK117" s="83"/>
      <c r="KL117" s="83"/>
      <c r="KM117" s="83"/>
      <c r="KN117" s="83"/>
      <c r="KO117" s="83"/>
      <c r="KP117" s="83"/>
      <c r="KQ117" s="83"/>
      <c r="KR117" s="83"/>
      <c r="KS117" s="83"/>
      <c r="KT117" s="83"/>
      <c r="KU117" s="83"/>
      <c r="KV117" s="83"/>
      <c r="KW117" s="83"/>
      <c r="KX117" s="83"/>
      <c r="KY117" s="83"/>
      <c r="KZ117" s="83"/>
      <c r="LA117" s="83"/>
      <c r="LB117" s="83"/>
      <c r="LC117" s="83"/>
      <c r="LD117" s="83"/>
      <c r="LE117" s="83"/>
      <c r="LF117" s="83"/>
      <c r="LG117" s="83"/>
      <c r="LH117" s="83"/>
      <c r="LI117" s="83"/>
      <c r="LJ117" s="83"/>
      <c r="LK117" s="83"/>
      <c r="LL117" s="83"/>
      <c r="LM117" s="83"/>
      <c r="LN117" s="83"/>
      <c r="LO117" s="83"/>
      <c r="LP117" s="83"/>
      <c r="LQ117" s="83"/>
      <c r="LR117" s="83"/>
      <c r="LS117" s="83"/>
      <c r="LT117" s="83"/>
      <c r="LU117" s="83"/>
      <c r="LV117" s="83"/>
      <c r="LW117" s="83"/>
      <c r="LX117" s="83"/>
      <c r="LY117" s="83"/>
      <c r="LZ117" s="83"/>
      <c r="MA117" s="83"/>
      <c r="MB117" s="83"/>
      <c r="MC117" s="83"/>
      <c r="MD117" s="83"/>
      <c r="ME117" s="83"/>
      <c r="MF117" s="83"/>
      <c r="MG117" s="83"/>
      <c r="MH117" s="83"/>
      <c r="MI117" s="83"/>
      <c r="MJ117" s="83"/>
      <c r="MK117" s="83"/>
      <c r="ML117" s="83"/>
      <c r="MM117" s="83"/>
      <c r="MN117" s="83"/>
      <c r="MO117" s="83"/>
      <c r="MP117" s="83"/>
      <c r="MQ117" s="83"/>
      <c r="MR117" s="83"/>
      <c r="MS117" s="83"/>
      <c r="MT117" s="83"/>
      <c r="MU117" s="83"/>
      <c r="MV117" s="83"/>
      <c r="MW117" s="83"/>
      <c r="MX117" s="83"/>
      <c r="MY117" s="83"/>
      <c r="MZ117" s="83"/>
      <c r="NA117" s="83"/>
      <c r="NB117" s="83"/>
      <c r="NC117" s="83"/>
      <c r="ND117" s="83"/>
      <c r="NE117" s="83"/>
      <c r="NF117" s="83"/>
      <c r="NG117" s="83"/>
      <c r="NH117" s="83"/>
      <c r="NI117" s="83"/>
      <c r="NJ117" s="83"/>
      <c r="NK117" s="83"/>
      <c r="NL117" s="83"/>
      <c r="NM117" s="83"/>
      <c r="NN117" s="83"/>
      <c r="NO117" s="83"/>
      <c r="NP117" s="83"/>
      <c r="NQ117" s="83"/>
      <c r="NR117" s="83"/>
      <c r="NS117" s="83"/>
      <c r="NT117" s="83"/>
      <c r="NU117" s="83"/>
      <c r="NV117" s="83"/>
      <c r="NW117" s="83"/>
      <c r="NX117" s="83"/>
      <c r="NY117" s="83"/>
      <c r="NZ117" s="83"/>
      <c r="OA117" s="83"/>
      <c r="OB117" s="83"/>
      <c r="OC117" s="83"/>
      <c r="OD117" s="83"/>
      <c r="OE117" s="83"/>
      <c r="OF117" s="83"/>
      <c r="OG117" s="83"/>
      <c r="OH117" s="83"/>
      <c r="OI117" s="83"/>
      <c r="OJ117" s="83"/>
      <c r="OK117" s="83"/>
      <c r="OL117" s="83"/>
      <c r="OM117" s="83"/>
      <c r="ON117" s="83"/>
      <c r="OO117" s="83"/>
      <c r="OP117" s="83"/>
      <c r="OQ117" s="83"/>
      <c r="OR117" s="83"/>
      <c r="OS117" s="83"/>
      <c r="OT117" s="83"/>
      <c r="OU117" s="83"/>
      <c r="OV117" s="83"/>
      <c r="OW117" s="83"/>
      <c r="OX117" s="83"/>
      <c r="OY117" s="83"/>
      <c r="OZ117" s="83"/>
      <c r="PA117" s="83"/>
      <c r="PB117" s="83"/>
      <c r="PC117" s="83"/>
      <c r="PD117" s="83"/>
      <c r="PE117" s="83"/>
      <c r="PF117" s="83"/>
      <c r="PG117" s="83"/>
      <c r="PH117" s="83"/>
      <c r="PI117" s="83"/>
      <c r="PJ117" s="83"/>
      <c r="PK117" s="83"/>
      <c r="PL117" s="83"/>
      <c r="PM117" s="83"/>
      <c r="PN117" s="83"/>
      <c r="PO117" s="83"/>
      <c r="PP117" s="83"/>
      <c r="PQ117" s="83"/>
      <c r="PR117" s="83"/>
      <c r="PS117" s="83"/>
      <c r="PT117" s="83"/>
      <c r="PU117" s="83"/>
      <c r="PV117" s="83"/>
      <c r="PW117" s="83"/>
      <c r="PX117" s="83"/>
      <c r="PY117" s="83"/>
      <c r="PZ117" s="83"/>
      <c r="QA117" s="83"/>
      <c r="QB117" s="83"/>
      <c r="QC117" s="83"/>
      <c r="QD117" s="83"/>
      <c r="QE117" s="83"/>
      <c r="QF117" s="83"/>
      <c r="QG117" s="83"/>
      <c r="QH117" s="83"/>
      <c r="QI117" s="83"/>
      <c r="QJ117" s="83"/>
      <c r="QK117" s="83"/>
      <c r="QL117" s="83"/>
      <c r="QM117" s="83"/>
      <c r="QN117" s="83"/>
      <c r="QO117" s="83"/>
      <c r="QP117" s="83"/>
      <c r="QQ117" s="83"/>
      <c r="QR117" s="83"/>
      <c r="QS117" s="83"/>
      <c r="QT117" s="83"/>
      <c r="QU117" s="83"/>
      <c r="QV117" s="83"/>
      <c r="QW117" s="83"/>
      <c r="QX117" s="83"/>
      <c r="QY117" s="83"/>
      <c r="QZ117" s="83"/>
      <c r="RA117" s="83"/>
      <c r="RB117" s="83"/>
      <c r="RC117" s="83"/>
      <c r="RD117" s="83"/>
      <c r="RE117" s="83"/>
      <c r="RF117" s="83"/>
      <c r="RG117" s="83"/>
      <c r="RH117" s="83"/>
      <c r="RI117" s="83"/>
      <c r="RJ117" s="83"/>
      <c r="RK117" s="83"/>
      <c r="RL117" s="83"/>
      <c r="RM117" s="83"/>
      <c r="RN117" s="83"/>
      <c r="RO117" s="83"/>
      <c r="RP117" s="83"/>
      <c r="RQ117" s="83"/>
      <c r="RR117" s="83"/>
      <c r="RS117" s="83"/>
      <c r="RT117" s="83"/>
      <c r="RU117" s="83"/>
      <c r="RV117" s="83"/>
      <c r="RW117" s="83"/>
      <c r="RX117" s="83"/>
      <c r="RY117" s="83"/>
      <c r="RZ117" s="83"/>
      <c r="SA117" s="83"/>
      <c r="SB117" s="83"/>
      <c r="SC117" s="83"/>
      <c r="SD117" s="83"/>
      <c r="SE117" s="83"/>
      <c r="SF117" s="83"/>
      <c r="SG117" s="83"/>
      <c r="SH117" s="83"/>
      <c r="SI117" s="83"/>
      <c r="SJ117" s="83"/>
      <c r="SK117" s="83"/>
      <c r="SL117" s="83"/>
      <c r="SM117" s="83"/>
      <c r="SN117" s="83"/>
      <c r="SO117" s="83"/>
      <c r="SP117" s="83"/>
      <c r="SQ117" s="83"/>
      <c r="SR117" s="83"/>
      <c r="SS117" s="83"/>
      <c r="ST117" s="83"/>
    </row>
    <row r="118" spans="1:514" s="376" customFormat="1" ht="33.6" customHeight="1" x14ac:dyDescent="0.25">
      <c r="A118" s="373"/>
      <c r="B118" s="373" t="s">
        <v>131</v>
      </c>
      <c r="C118" s="868"/>
      <c r="D118" s="373" t="s">
        <v>130</v>
      </c>
      <c r="E118" s="374">
        <v>0</v>
      </c>
      <c r="F118" s="374">
        <v>0</v>
      </c>
      <c r="G118" s="640">
        <v>0</v>
      </c>
      <c r="H118" s="374">
        <v>0</v>
      </c>
      <c r="I118" s="374">
        <v>0</v>
      </c>
      <c r="J118" s="375">
        <v>4842.07</v>
      </c>
      <c r="K118" s="375">
        <v>0</v>
      </c>
      <c r="L118" s="375">
        <v>0</v>
      </c>
      <c r="M118" s="375">
        <f t="shared" ref="M118:M127" si="135">J118+K118+L118</f>
        <v>4842.07</v>
      </c>
      <c r="N118" s="375">
        <f t="shared" si="107"/>
        <v>0</v>
      </c>
      <c r="O118" s="375">
        <f t="shared" ref="O118:O128" si="136">G118*K118</f>
        <v>0</v>
      </c>
      <c r="P118" s="375"/>
      <c r="Q118" s="375">
        <f t="shared" si="105"/>
        <v>0</v>
      </c>
      <c r="R118" s="375"/>
      <c r="S118" s="375"/>
      <c r="T118" s="375">
        <f t="shared" ref="T118:T123" si="137">SUM(N118:Q118)</f>
        <v>0</v>
      </c>
      <c r="U118" s="375">
        <f t="shared" si="106"/>
        <v>0</v>
      </c>
      <c r="V118" s="375">
        <f t="shared" si="106"/>
        <v>0</v>
      </c>
      <c r="AD118" s="83"/>
      <c r="AE118" s="83"/>
      <c r="AF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83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/>
      <c r="EA118" s="83"/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/>
      <c r="ES118" s="83"/>
      <c r="ET118" s="83"/>
      <c r="EU118" s="83"/>
      <c r="EV118" s="83"/>
      <c r="EW118" s="83"/>
      <c r="EX118" s="83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3"/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3"/>
      <c r="HI118" s="83"/>
      <c r="HJ118" s="83"/>
      <c r="HK118" s="83"/>
      <c r="HL118" s="83"/>
      <c r="HM118" s="83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  <c r="IW118" s="83"/>
      <c r="IX118" s="83"/>
      <c r="IY118" s="83"/>
      <c r="IZ118" s="83"/>
      <c r="JA118" s="83"/>
      <c r="JB118" s="83"/>
      <c r="JC118" s="83"/>
      <c r="JD118" s="83"/>
      <c r="JE118" s="83"/>
      <c r="JF118" s="83"/>
      <c r="JG118" s="83"/>
      <c r="JH118" s="83"/>
      <c r="JI118" s="83"/>
      <c r="JJ118" s="83"/>
      <c r="JK118" s="83"/>
      <c r="JL118" s="83"/>
      <c r="JM118" s="83"/>
      <c r="JN118" s="83"/>
      <c r="JO118" s="83"/>
      <c r="JP118" s="83"/>
      <c r="JQ118" s="83"/>
      <c r="JR118" s="83"/>
      <c r="JS118" s="83"/>
      <c r="JT118" s="83"/>
      <c r="JU118" s="83"/>
      <c r="JV118" s="83"/>
      <c r="JW118" s="83"/>
      <c r="JX118" s="83"/>
      <c r="JY118" s="83"/>
      <c r="JZ118" s="83"/>
      <c r="KA118" s="83"/>
      <c r="KB118" s="83"/>
      <c r="KC118" s="83"/>
      <c r="KD118" s="83"/>
      <c r="KE118" s="83"/>
      <c r="KF118" s="83"/>
      <c r="KG118" s="83"/>
      <c r="KH118" s="83"/>
      <c r="KI118" s="83"/>
      <c r="KJ118" s="83"/>
      <c r="KK118" s="83"/>
      <c r="KL118" s="83"/>
      <c r="KM118" s="83"/>
      <c r="KN118" s="83"/>
      <c r="KO118" s="83"/>
      <c r="KP118" s="83"/>
      <c r="KQ118" s="83"/>
      <c r="KR118" s="83"/>
      <c r="KS118" s="83"/>
      <c r="KT118" s="83"/>
      <c r="KU118" s="83"/>
      <c r="KV118" s="83"/>
      <c r="KW118" s="83"/>
      <c r="KX118" s="83"/>
      <c r="KY118" s="83"/>
      <c r="KZ118" s="83"/>
      <c r="LA118" s="83"/>
      <c r="LB118" s="83"/>
      <c r="LC118" s="83"/>
      <c r="LD118" s="83"/>
      <c r="LE118" s="83"/>
      <c r="LF118" s="83"/>
      <c r="LG118" s="83"/>
      <c r="LH118" s="83"/>
      <c r="LI118" s="83"/>
      <c r="LJ118" s="83"/>
      <c r="LK118" s="83"/>
      <c r="LL118" s="83"/>
      <c r="LM118" s="83"/>
      <c r="LN118" s="83"/>
      <c r="LO118" s="83"/>
      <c r="LP118" s="83"/>
      <c r="LQ118" s="83"/>
      <c r="LR118" s="83"/>
      <c r="LS118" s="83"/>
      <c r="LT118" s="83"/>
      <c r="LU118" s="83"/>
      <c r="LV118" s="83"/>
      <c r="LW118" s="83"/>
      <c r="LX118" s="83"/>
      <c r="LY118" s="83"/>
      <c r="LZ118" s="83"/>
      <c r="MA118" s="83"/>
      <c r="MB118" s="83"/>
      <c r="MC118" s="83"/>
      <c r="MD118" s="83"/>
      <c r="ME118" s="83"/>
      <c r="MF118" s="83"/>
      <c r="MG118" s="83"/>
      <c r="MH118" s="83"/>
      <c r="MI118" s="83"/>
      <c r="MJ118" s="83"/>
      <c r="MK118" s="83"/>
      <c r="ML118" s="83"/>
      <c r="MM118" s="83"/>
      <c r="MN118" s="83"/>
      <c r="MO118" s="83"/>
      <c r="MP118" s="83"/>
      <c r="MQ118" s="83"/>
      <c r="MR118" s="83"/>
      <c r="MS118" s="83"/>
      <c r="MT118" s="83"/>
      <c r="MU118" s="83"/>
      <c r="MV118" s="83"/>
      <c r="MW118" s="83"/>
      <c r="MX118" s="83"/>
      <c r="MY118" s="83"/>
      <c r="MZ118" s="83"/>
      <c r="NA118" s="83"/>
      <c r="NB118" s="83"/>
      <c r="NC118" s="83"/>
      <c r="ND118" s="83"/>
      <c r="NE118" s="83"/>
      <c r="NF118" s="83"/>
      <c r="NG118" s="83"/>
      <c r="NH118" s="83"/>
      <c r="NI118" s="83"/>
      <c r="NJ118" s="83"/>
      <c r="NK118" s="83"/>
      <c r="NL118" s="83"/>
      <c r="NM118" s="83"/>
      <c r="NN118" s="83"/>
      <c r="NO118" s="83"/>
      <c r="NP118" s="83"/>
      <c r="NQ118" s="83"/>
      <c r="NR118" s="83"/>
      <c r="NS118" s="83"/>
      <c r="NT118" s="83"/>
      <c r="NU118" s="83"/>
      <c r="NV118" s="83"/>
      <c r="NW118" s="83"/>
      <c r="NX118" s="83"/>
      <c r="NY118" s="83"/>
      <c r="NZ118" s="83"/>
      <c r="OA118" s="83"/>
      <c r="OB118" s="83"/>
      <c r="OC118" s="83"/>
      <c r="OD118" s="83"/>
      <c r="OE118" s="83"/>
      <c r="OF118" s="83"/>
      <c r="OG118" s="83"/>
      <c r="OH118" s="83"/>
      <c r="OI118" s="83"/>
      <c r="OJ118" s="83"/>
      <c r="OK118" s="83"/>
      <c r="OL118" s="83"/>
      <c r="OM118" s="83"/>
      <c r="ON118" s="83"/>
      <c r="OO118" s="83"/>
      <c r="OP118" s="83"/>
      <c r="OQ118" s="83"/>
      <c r="OR118" s="83"/>
      <c r="OS118" s="83"/>
      <c r="OT118" s="83"/>
      <c r="OU118" s="83"/>
      <c r="OV118" s="83"/>
      <c r="OW118" s="83"/>
      <c r="OX118" s="83"/>
      <c r="OY118" s="83"/>
      <c r="OZ118" s="83"/>
      <c r="PA118" s="83"/>
      <c r="PB118" s="83"/>
      <c r="PC118" s="83"/>
      <c r="PD118" s="83"/>
      <c r="PE118" s="83"/>
      <c r="PF118" s="83"/>
      <c r="PG118" s="83"/>
      <c r="PH118" s="83"/>
      <c r="PI118" s="83"/>
      <c r="PJ118" s="83"/>
      <c r="PK118" s="83"/>
      <c r="PL118" s="83"/>
      <c r="PM118" s="83"/>
      <c r="PN118" s="83"/>
      <c r="PO118" s="83"/>
      <c r="PP118" s="83"/>
      <c r="PQ118" s="83"/>
      <c r="PR118" s="83"/>
      <c r="PS118" s="83"/>
      <c r="PT118" s="83"/>
      <c r="PU118" s="83"/>
      <c r="PV118" s="83"/>
      <c r="PW118" s="83"/>
      <c r="PX118" s="83"/>
      <c r="PY118" s="83"/>
      <c r="PZ118" s="83"/>
      <c r="QA118" s="83"/>
      <c r="QB118" s="83"/>
      <c r="QC118" s="83"/>
      <c r="QD118" s="83"/>
      <c r="QE118" s="83"/>
      <c r="QF118" s="83"/>
      <c r="QG118" s="83"/>
      <c r="QH118" s="83"/>
      <c r="QI118" s="83"/>
      <c r="QJ118" s="83"/>
      <c r="QK118" s="83"/>
      <c r="QL118" s="83"/>
      <c r="QM118" s="83"/>
      <c r="QN118" s="83"/>
      <c r="QO118" s="83"/>
      <c r="QP118" s="83"/>
      <c r="QQ118" s="83"/>
      <c r="QR118" s="83"/>
      <c r="QS118" s="83"/>
      <c r="QT118" s="83"/>
      <c r="QU118" s="83"/>
      <c r="QV118" s="83"/>
      <c r="QW118" s="83"/>
      <c r="QX118" s="83"/>
      <c r="QY118" s="83"/>
      <c r="QZ118" s="83"/>
      <c r="RA118" s="83"/>
      <c r="RB118" s="83"/>
      <c r="RC118" s="83"/>
      <c r="RD118" s="83"/>
      <c r="RE118" s="83"/>
      <c r="RF118" s="83"/>
      <c r="RG118" s="83"/>
      <c r="RH118" s="83"/>
      <c r="RI118" s="83"/>
      <c r="RJ118" s="83"/>
      <c r="RK118" s="83"/>
      <c r="RL118" s="83"/>
      <c r="RM118" s="83"/>
      <c r="RN118" s="83"/>
      <c r="RO118" s="83"/>
      <c r="RP118" s="83"/>
      <c r="RQ118" s="83"/>
      <c r="RR118" s="83"/>
      <c r="RS118" s="83"/>
      <c r="RT118" s="83"/>
      <c r="RU118" s="83"/>
      <c r="RV118" s="83"/>
      <c r="RW118" s="83"/>
      <c r="RX118" s="83"/>
      <c r="RY118" s="83"/>
      <c r="RZ118" s="83"/>
      <c r="SA118" s="83"/>
      <c r="SB118" s="83"/>
      <c r="SC118" s="83"/>
      <c r="SD118" s="83"/>
      <c r="SE118" s="83"/>
      <c r="SF118" s="83"/>
      <c r="SG118" s="83"/>
      <c r="SH118" s="83"/>
      <c r="SI118" s="83"/>
      <c r="SJ118" s="83"/>
      <c r="SK118" s="83"/>
      <c r="SL118" s="83"/>
      <c r="SM118" s="83"/>
      <c r="SN118" s="83"/>
      <c r="SO118" s="83"/>
      <c r="SP118" s="83"/>
      <c r="SQ118" s="83"/>
      <c r="SR118" s="83"/>
      <c r="SS118" s="83"/>
      <c r="ST118" s="83"/>
    </row>
    <row r="119" spans="1:514" s="376" customFormat="1" ht="28.2" customHeight="1" x14ac:dyDescent="0.25">
      <c r="A119" s="373"/>
      <c r="B119" s="373" t="s">
        <v>336</v>
      </c>
      <c r="C119" s="866" t="s">
        <v>457</v>
      </c>
      <c r="D119" s="373" t="s">
        <v>130</v>
      </c>
      <c r="E119" s="374">
        <v>26</v>
      </c>
      <c r="F119" s="374">
        <v>14</v>
      </c>
      <c r="G119" s="640">
        <v>13</v>
      </c>
      <c r="H119" s="374">
        <v>13</v>
      </c>
      <c r="I119" s="374">
        <v>13</v>
      </c>
      <c r="J119" s="375">
        <v>7263.1</v>
      </c>
      <c r="K119" s="375">
        <v>0</v>
      </c>
      <c r="L119" s="375">
        <v>0</v>
      </c>
      <c r="M119" s="375">
        <f t="shared" si="135"/>
        <v>7263.1</v>
      </c>
      <c r="N119" s="375">
        <f t="shared" ref="N119:N124" si="138">G119*J119</f>
        <v>94420.3</v>
      </c>
      <c r="O119" s="375">
        <f t="shared" si="136"/>
        <v>0</v>
      </c>
      <c r="P119" s="375"/>
      <c r="Q119" s="375">
        <f t="shared" si="105"/>
        <v>0</v>
      </c>
      <c r="R119" s="375"/>
      <c r="S119" s="375"/>
      <c r="T119" s="375">
        <f t="shared" si="137"/>
        <v>94420.3</v>
      </c>
      <c r="U119" s="375">
        <f t="shared" si="106"/>
        <v>94420.3</v>
      </c>
      <c r="V119" s="375">
        <f t="shared" si="106"/>
        <v>94420.3</v>
      </c>
      <c r="AD119" s="83"/>
      <c r="AE119" s="83"/>
      <c r="AF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3"/>
      <c r="HI119" s="83"/>
      <c r="HJ119" s="83"/>
      <c r="HK119" s="83"/>
      <c r="HL119" s="83"/>
      <c r="HM119" s="83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  <c r="IW119" s="83"/>
      <c r="IX119" s="83"/>
      <c r="IY119" s="83"/>
      <c r="IZ119" s="83"/>
      <c r="JA119" s="83"/>
      <c r="JB119" s="83"/>
      <c r="JC119" s="83"/>
      <c r="JD119" s="83"/>
      <c r="JE119" s="83"/>
      <c r="JF119" s="83"/>
      <c r="JG119" s="83"/>
      <c r="JH119" s="83"/>
      <c r="JI119" s="83"/>
      <c r="JJ119" s="83"/>
      <c r="JK119" s="83"/>
      <c r="JL119" s="83"/>
      <c r="JM119" s="83"/>
      <c r="JN119" s="83"/>
      <c r="JO119" s="83"/>
      <c r="JP119" s="83"/>
      <c r="JQ119" s="83"/>
      <c r="JR119" s="83"/>
      <c r="JS119" s="83"/>
      <c r="JT119" s="83"/>
      <c r="JU119" s="83"/>
      <c r="JV119" s="83"/>
      <c r="JW119" s="83"/>
      <c r="JX119" s="83"/>
      <c r="JY119" s="83"/>
      <c r="JZ119" s="83"/>
      <c r="KA119" s="83"/>
      <c r="KB119" s="83"/>
      <c r="KC119" s="83"/>
      <c r="KD119" s="83"/>
      <c r="KE119" s="83"/>
      <c r="KF119" s="83"/>
      <c r="KG119" s="83"/>
      <c r="KH119" s="83"/>
      <c r="KI119" s="83"/>
      <c r="KJ119" s="83"/>
      <c r="KK119" s="83"/>
      <c r="KL119" s="83"/>
      <c r="KM119" s="83"/>
      <c r="KN119" s="83"/>
      <c r="KO119" s="83"/>
      <c r="KP119" s="83"/>
      <c r="KQ119" s="83"/>
      <c r="KR119" s="83"/>
      <c r="KS119" s="83"/>
      <c r="KT119" s="83"/>
      <c r="KU119" s="83"/>
      <c r="KV119" s="83"/>
      <c r="KW119" s="83"/>
      <c r="KX119" s="83"/>
      <c r="KY119" s="83"/>
      <c r="KZ119" s="83"/>
      <c r="LA119" s="83"/>
      <c r="LB119" s="83"/>
      <c r="LC119" s="83"/>
      <c r="LD119" s="83"/>
      <c r="LE119" s="83"/>
      <c r="LF119" s="83"/>
      <c r="LG119" s="83"/>
      <c r="LH119" s="83"/>
      <c r="LI119" s="83"/>
      <c r="LJ119" s="83"/>
      <c r="LK119" s="83"/>
      <c r="LL119" s="83"/>
      <c r="LM119" s="83"/>
      <c r="LN119" s="83"/>
      <c r="LO119" s="83"/>
      <c r="LP119" s="83"/>
      <c r="LQ119" s="83"/>
      <c r="LR119" s="83"/>
      <c r="LS119" s="83"/>
      <c r="LT119" s="83"/>
      <c r="LU119" s="83"/>
      <c r="LV119" s="83"/>
      <c r="LW119" s="83"/>
      <c r="LX119" s="83"/>
      <c r="LY119" s="83"/>
      <c r="LZ119" s="83"/>
      <c r="MA119" s="83"/>
      <c r="MB119" s="83"/>
      <c r="MC119" s="83"/>
      <c r="MD119" s="83"/>
      <c r="ME119" s="83"/>
      <c r="MF119" s="83"/>
      <c r="MG119" s="83"/>
      <c r="MH119" s="83"/>
      <c r="MI119" s="83"/>
      <c r="MJ119" s="83"/>
      <c r="MK119" s="83"/>
      <c r="ML119" s="83"/>
      <c r="MM119" s="83"/>
      <c r="MN119" s="83"/>
      <c r="MO119" s="83"/>
      <c r="MP119" s="83"/>
      <c r="MQ119" s="83"/>
      <c r="MR119" s="83"/>
      <c r="MS119" s="83"/>
      <c r="MT119" s="83"/>
      <c r="MU119" s="83"/>
      <c r="MV119" s="83"/>
      <c r="MW119" s="83"/>
      <c r="MX119" s="83"/>
      <c r="MY119" s="83"/>
      <c r="MZ119" s="83"/>
      <c r="NA119" s="83"/>
      <c r="NB119" s="83"/>
      <c r="NC119" s="83"/>
      <c r="ND119" s="83"/>
      <c r="NE119" s="83"/>
      <c r="NF119" s="83"/>
      <c r="NG119" s="83"/>
      <c r="NH119" s="83"/>
      <c r="NI119" s="83"/>
      <c r="NJ119" s="83"/>
      <c r="NK119" s="83"/>
      <c r="NL119" s="83"/>
      <c r="NM119" s="83"/>
      <c r="NN119" s="83"/>
      <c r="NO119" s="83"/>
      <c r="NP119" s="83"/>
      <c r="NQ119" s="83"/>
      <c r="NR119" s="83"/>
      <c r="NS119" s="83"/>
      <c r="NT119" s="83"/>
      <c r="NU119" s="83"/>
      <c r="NV119" s="83"/>
      <c r="NW119" s="83"/>
      <c r="NX119" s="83"/>
      <c r="NY119" s="83"/>
      <c r="NZ119" s="83"/>
      <c r="OA119" s="83"/>
      <c r="OB119" s="83"/>
      <c r="OC119" s="83"/>
      <c r="OD119" s="83"/>
      <c r="OE119" s="83"/>
      <c r="OF119" s="83"/>
      <c r="OG119" s="83"/>
      <c r="OH119" s="83"/>
      <c r="OI119" s="83"/>
      <c r="OJ119" s="83"/>
      <c r="OK119" s="83"/>
      <c r="OL119" s="83"/>
      <c r="OM119" s="83"/>
      <c r="ON119" s="83"/>
      <c r="OO119" s="83"/>
      <c r="OP119" s="83"/>
      <c r="OQ119" s="83"/>
      <c r="OR119" s="83"/>
      <c r="OS119" s="83"/>
      <c r="OT119" s="83"/>
      <c r="OU119" s="83"/>
      <c r="OV119" s="83"/>
      <c r="OW119" s="83"/>
      <c r="OX119" s="83"/>
      <c r="OY119" s="83"/>
      <c r="OZ119" s="83"/>
      <c r="PA119" s="83"/>
      <c r="PB119" s="83"/>
      <c r="PC119" s="83"/>
      <c r="PD119" s="83"/>
      <c r="PE119" s="83"/>
      <c r="PF119" s="83"/>
      <c r="PG119" s="83"/>
      <c r="PH119" s="83"/>
      <c r="PI119" s="83"/>
      <c r="PJ119" s="83"/>
      <c r="PK119" s="83"/>
      <c r="PL119" s="83"/>
      <c r="PM119" s="83"/>
      <c r="PN119" s="83"/>
      <c r="PO119" s="83"/>
      <c r="PP119" s="83"/>
      <c r="PQ119" s="83"/>
      <c r="PR119" s="83"/>
      <c r="PS119" s="83"/>
      <c r="PT119" s="83"/>
      <c r="PU119" s="83"/>
      <c r="PV119" s="83"/>
      <c r="PW119" s="83"/>
      <c r="PX119" s="83"/>
      <c r="PY119" s="83"/>
      <c r="PZ119" s="83"/>
      <c r="QA119" s="83"/>
      <c r="QB119" s="83"/>
      <c r="QC119" s="83"/>
      <c r="QD119" s="83"/>
      <c r="QE119" s="83"/>
      <c r="QF119" s="83"/>
      <c r="QG119" s="83"/>
      <c r="QH119" s="83"/>
      <c r="QI119" s="83"/>
      <c r="QJ119" s="83"/>
      <c r="QK119" s="83"/>
      <c r="QL119" s="83"/>
      <c r="QM119" s="83"/>
      <c r="QN119" s="83"/>
      <c r="QO119" s="83"/>
      <c r="QP119" s="83"/>
      <c r="QQ119" s="83"/>
      <c r="QR119" s="83"/>
      <c r="QS119" s="83"/>
      <c r="QT119" s="83"/>
      <c r="QU119" s="83"/>
      <c r="QV119" s="83"/>
      <c r="QW119" s="83"/>
      <c r="QX119" s="83"/>
      <c r="QY119" s="83"/>
      <c r="QZ119" s="83"/>
      <c r="RA119" s="83"/>
      <c r="RB119" s="83"/>
      <c r="RC119" s="83"/>
      <c r="RD119" s="83"/>
      <c r="RE119" s="83"/>
      <c r="RF119" s="83"/>
      <c r="RG119" s="83"/>
      <c r="RH119" s="83"/>
      <c r="RI119" s="83"/>
      <c r="RJ119" s="83"/>
      <c r="RK119" s="83"/>
      <c r="RL119" s="83"/>
      <c r="RM119" s="83"/>
      <c r="RN119" s="83"/>
      <c r="RO119" s="83"/>
      <c r="RP119" s="83"/>
      <c r="RQ119" s="83"/>
      <c r="RR119" s="83"/>
      <c r="RS119" s="83"/>
      <c r="RT119" s="83"/>
      <c r="RU119" s="83"/>
      <c r="RV119" s="83"/>
      <c r="RW119" s="83"/>
      <c r="RX119" s="83"/>
      <c r="RY119" s="83"/>
      <c r="RZ119" s="83"/>
      <c r="SA119" s="83"/>
      <c r="SB119" s="83"/>
      <c r="SC119" s="83"/>
      <c r="SD119" s="83"/>
      <c r="SE119" s="83"/>
      <c r="SF119" s="83"/>
      <c r="SG119" s="83"/>
      <c r="SH119" s="83"/>
      <c r="SI119" s="83"/>
      <c r="SJ119" s="83"/>
      <c r="SK119" s="83"/>
      <c r="SL119" s="83"/>
      <c r="SM119" s="83"/>
      <c r="SN119" s="83"/>
      <c r="SO119" s="83"/>
      <c r="SP119" s="83"/>
      <c r="SQ119" s="83"/>
      <c r="SR119" s="83"/>
      <c r="SS119" s="83"/>
      <c r="ST119" s="83"/>
    </row>
    <row r="120" spans="1:514" s="376" customFormat="1" ht="43.2" customHeight="1" x14ac:dyDescent="0.25">
      <c r="A120" s="373"/>
      <c r="B120" s="745" t="s">
        <v>594</v>
      </c>
      <c r="C120" s="867"/>
      <c r="D120" s="373" t="s">
        <v>130</v>
      </c>
      <c r="E120" s="374">
        <v>13</v>
      </c>
      <c r="F120" s="374">
        <v>0</v>
      </c>
      <c r="G120" s="640">
        <v>0</v>
      </c>
      <c r="H120" s="374">
        <v>0</v>
      </c>
      <c r="I120" s="374">
        <v>0</v>
      </c>
      <c r="J120" s="375">
        <v>12105.17</v>
      </c>
      <c r="K120" s="375">
        <v>0</v>
      </c>
      <c r="L120" s="375">
        <v>0</v>
      </c>
      <c r="M120" s="375">
        <f t="shared" si="135"/>
        <v>12105.17</v>
      </c>
      <c r="N120" s="375">
        <f t="shared" si="138"/>
        <v>0</v>
      </c>
      <c r="O120" s="375">
        <f t="shared" si="136"/>
        <v>0</v>
      </c>
      <c r="P120" s="375"/>
      <c r="Q120" s="375">
        <f t="shared" si="105"/>
        <v>0</v>
      </c>
      <c r="R120" s="375"/>
      <c r="S120" s="375"/>
      <c r="T120" s="375">
        <f t="shared" si="137"/>
        <v>0</v>
      </c>
      <c r="U120" s="375">
        <f t="shared" si="106"/>
        <v>0</v>
      </c>
      <c r="V120" s="375">
        <f t="shared" si="106"/>
        <v>0</v>
      </c>
      <c r="AD120" s="83"/>
      <c r="AE120" s="83"/>
      <c r="AF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3"/>
      <c r="HI120" s="83"/>
      <c r="HJ120" s="83"/>
      <c r="HK120" s="83"/>
      <c r="HL120" s="83"/>
      <c r="HM120" s="83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  <c r="IW120" s="83"/>
      <c r="IX120" s="83"/>
      <c r="IY120" s="83"/>
      <c r="IZ120" s="83"/>
      <c r="JA120" s="83"/>
      <c r="JB120" s="83"/>
      <c r="JC120" s="83"/>
      <c r="JD120" s="83"/>
      <c r="JE120" s="83"/>
      <c r="JF120" s="83"/>
      <c r="JG120" s="83"/>
      <c r="JH120" s="83"/>
      <c r="JI120" s="83"/>
      <c r="JJ120" s="83"/>
      <c r="JK120" s="83"/>
      <c r="JL120" s="83"/>
      <c r="JM120" s="83"/>
      <c r="JN120" s="83"/>
      <c r="JO120" s="83"/>
      <c r="JP120" s="83"/>
      <c r="JQ120" s="83"/>
      <c r="JR120" s="83"/>
      <c r="JS120" s="83"/>
      <c r="JT120" s="83"/>
      <c r="JU120" s="83"/>
      <c r="JV120" s="83"/>
      <c r="JW120" s="83"/>
      <c r="JX120" s="83"/>
      <c r="JY120" s="83"/>
      <c r="JZ120" s="83"/>
      <c r="KA120" s="83"/>
      <c r="KB120" s="83"/>
      <c r="KC120" s="83"/>
      <c r="KD120" s="83"/>
      <c r="KE120" s="83"/>
      <c r="KF120" s="83"/>
      <c r="KG120" s="83"/>
      <c r="KH120" s="83"/>
      <c r="KI120" s="83"/>
      <c r="KJ120" s="83"/>
      <c r="KK120" s="83"/>
      <c r="KL120" s="83"/>
      <c r="KM120" s="83"/>
      <c r="KN120" s="83"/>
      <c r="KO120" s="83"/>
      <c r="KP120" s="83"/>
      <c r="KQ120" s="83"/>
      <c r="KR120" s="83"/>
      <c r="KS120" s="83"/>
      <c r="KT120" s="83"/>
      <c r="KU120" s="83"/>
      <c r="KV120" s="83"/>
      <c r="KW120" s="83"/>
      <c r="KX120" s="83"/>
      <c r="KY120" s="83"/>
      <c r="KZ120" s="83"/>
      <c r="LA120" s="83"/>
      <c r="LB120" s="83"/>
      <c r="LC120" s="83"/>
      <c r="LD120" s="83"/>
      <c r="LE120" s="83"/>
      <c r="LF120" s="83"/>
      <c r="LG120" s="83"/>
      <c r="LH120" s="83"/>
      <c r="LI120" s="83"/>
      <c r="LJ120" s="83"/>
      <c r="LK120" s="83"/>
      <c r="LL120" s="83"/>
      <c r="LM120" s="83"/>
      <c r="LN120" s="83"/>
      <c r="LO120" s="83"/>
      <c r="LP120" s="83"/>
      <c r="LQ120" s="83"/>
      <c r="LR120" s="83"/>
      <c r="LS120" s="83"/>
      <c r="LT120" s="83"/>
      <c r="LU120" s="83"/>
      <c r="LV120" s="83"/>
      <c r="LW120" s="83"/>
      <c r="LX120" s="83"/>
      <c r="LY120" s="83"/>
      <c r="LZ120" s="83"/>
      <c r="MA120" s="83"/>
      <c r="MB120" s="83"/>
      <c r="MC120" s="83"/>
      <c r="MD120" s="83"/>
      <c r="ME120" s="83"/>
      <c r="MF120" s="83"/>
      <c r="MG120" s="83"/>
      <c r="MH120" s="83"/>
      <c r="MI120" s="83"/>
      <c r="MJ120" s="83"/>
      <c r="MK120" s="83"/>
      <c r="ML120" s="83"/>
      <c r="MM120" s="83"/>
      <c r="MN120" s="83"/>
      <c r="MO120" s="83"/>
      <c r="MP120" s="83"/>
      <c r="MQ120" s="83"/>
      <c r="MR120" s="83"/>
      <c r="MS120" s="83"/>
      <c r="MT120" s="83"/>
      <c r="MU120" s="83"/>
      <c r="MV120" s="83"/>
      <c r="MW120" s="83"/>
      <c r="MX120" s="83"/>
      <c r="MY120" s="83"/>
      <c r="MZ120" s="83"/>
      <c r="NA120" s="83"/>
      <c r="NB120" s="83"/>
      <c r="NC120" s="83"/>
      <c r="ND120" s="83"/>
      <c r="NE120" s="83"/>
      <c r="NF120" s="83"/>
      <c r="NG120" s="83"/>
      <c r="NH120" s="83"/>
      <c r="NI120" s="83"/>
      <c r="NJ120" s="83"/>
      <c r="NK120" s="83"/>
      <c r="NL120" s="83"/>
      <c r="NM120" s="83"/>
      <c r="NN120" s="83"/>
      <c r="NO120" s="83"/>
      <c r="NP120" s="83"/>
      <c r="NQ120" s="83"/>
      <c r="NR120" s="83"/>
      <c r="NS120" s="83"/>
      <c r="NT120" s="83"/>
      <c r="NU120" s="83"/>
      <c r="NV120" s="83"/>
      <c r="NW120" s="83"/>
      <c r="NX120" s="83"/>
      <c r="NY120" s="83"/>
      <c r="NZ120" s="83"/>
      <c r="OA120" s="83"/>
      <c r="OB120" s="83"/>
      <c r="OC120" s="83"/>
      <c r="OD120" s="83"/>
      <c r="OE120" s="83"/>
      <c r="OF120" s="83"/>
      <c r="OG120" s="83"/>
      <c r="OH120" s="83"/>
      <c r="OI120" s="83"/>
      <c r="OJ120" s="83"/>
      <c r="OK120" s="83"/>
      <c r="OL120" s="83"/>
      <c r="OM120" s="83"/>
      <c r="ON120" s="83"/>
      <c r="OO120" s="83"/>
      <c r="OP120" s="83"/>
      <c r="OQ120" s="83"/>
      <c r="OR120" s="83"/>
      <c r="OS120" s="83"/>
      <c r="OT120" s="83"/>
      <c r="OU120" s="83"/>
      <c r="OV120" s="83"/>
      <c r="OW120" s="83"/>
      <c r="OX120" s="83"/>
      <c r="OY120" s="83"/>
      <c r="OZ120" s="83"/>
      <c r="PA120" s="83"/>
      <c r="PB120" s="83"/>
      <c r="PC120" s="83"/>
      <c r="PD120" s="83"/>
      <c r="PE120" s="83"/>
      <c r="PF120" s="83"/>
      <c r="PG120" s="83"/>
      <c r="PH120" s="83"/>
      <c r="PI120" s="83"/>
      <c r="PJ120" s="83"/>
      <c r="PK120" s="83"/>
      <c r="PL120" s="83"/>
      <c r="PM120" s="83"/>
      <c r="PN120" s="83"/>
      <c r="PO120" s="83"/>
      <c r="PP120" s="83"/>
      <c r="PQ120" s="83"/>
      <c r="PR120" s="83"/>
      <c r="PS120" s="83"/>
      <c r="PT120" s="83"/>
      <c r="PU120" s="83"/>
      <c r="PV120" s="83"/>
      <c r="PW120" s="83"/>
      <c r="PX120" s="83"/>
      <c r="PY120" s="83"/>
      <c r="PZ120" s="83"/>
      <c r="QA120" s="83"/>
      <c r="QB120" s="83"/>
      <c r="QC120" s="83"/>
      <c r="QD120" s="83"/>
      <c r="QE120" s="83"/>
      <c r="QF120" s="83"/>
      <c r="QG120" s="83"/>
      <c r="QH120" s="83"/>
      <c r="QI120" s="83"/>
      <c r="QJ120" s="83"/>
      <c r="QK120" s="83"/>
      <c r="QL120" s="83"/>
      <c r="QM120" s="83"/>
      <c r="QN120" s="83"/>
      <c r="QO120" s="83"/>
      <c r="QP120" s="83"/>
      <c r="QQ120" s="83"/>
      <c r="QR120" s="83"/>
      <c r="QS120" s="83"/>
      <c r="QT120" s="83"/>
      <c r="QU120" s="83"/>
      <c r="QV120" s="83"/>
      <c r="QW120" s="83"/>
      <c r="QX120" s="83"/>
      <c r="QY120" s="83"/>
      <c r="QZ120" s="83"/>
      <c r="RA120" s="83"/>
      <c r="RB120" s="83"/>
      <c r="RC120" s="83"/>
      <c r="RD120" s="83"/>
      <c r="RE120" s="83"/>
      <c r="RF120" s="83"/>
      <c r="RG120" s="83"/>
      <c r="RH120" s="83"/>
      <c r="RI120" s="83"/>
      <c r="RJ120" s="83"/>
      <c r="RK120" s="83"/>
      <c r="RL120" s="83"/>
      <c r="RM120" s="83"/>
      <c r="RN120" s="83"/>
      <c r="RO120" s="83"/>
      <c r="RP120" s="83"/>
      <c r="RQ120" s="83"/>
      <c r="RR120" s="83"/>
      <c r="RS120" s="83"/>
      <c r="RT120" s="83"/>
      <c r="RU120" s="83"/>
      <c r="RV120" s="83"/>
      <c r="RW120" s="83"/>
      <c r="RX120" s="83"/>
      <c r="RY120" s="83"/>
      <c r="RZ120" s="83"/>
      <c r="SA120" s="83"/>
      <c r="SB120" s="83"/>
      <c r="SC120" s="83"/>
      <c r="SD120" s="83"/>
      <c r="SE120" s="83"/>
      <c r="SF120" s="83"/>
      <c r="SG120" s="83"/>
      <c r="SH120" s="83"/>
      <c r="SI120" s="83"/>
      <c r="SJ120" s="83"/>
      <c r="SK120" s="83"/>
      <c r="SL120" s="83"/>
      <c r="SM120" s="83"/>
      <c r="SN120" s="83"/>
      <c r="SO120" s="83"/>
      <c r="SP120" s="83"/>
      <c r="SQ120" s="83"/>
      <c r="SR120" s="83"/>
      <c r="SS120" s="83"/>
      <c r="ST120" s="83"/>
    </row>
    <row r="121" spans="1:514" s="376" customFormat="1" ht="47.4" customHeight="1" x14ac:dyDescent="0.25">
      <c r="A121" s="373"/>
      <c r="B121" s="745" t="s">
        <v>458</v>
      </c>
      <c r="C121" s="867"/>
      <c r="D121" s="373" t="s">
        <v>130</v>
      </c>
      <c r="E121" s="374">
        <v>6</v>
      </c>
      <c r="F121" s="374">
        <v>0</v>
      </c>
      <c r="G121" s="640">
        <v>0</v>
      </c>
      <c r="H121" s="374">
        <v>0</v>
      </c>
      <c r="I121" s="374">
        <v>0</v>
      </c>
      <c r="J121" s="375">
        <v>12105.17</v>
      </c>
      <c r="K121" s="375">
        <v>0</v>
      </c>
      <c r="L121" s="375">
        <v>0</v>
      </c>
      <c r="M121" s="375">
        <f t="shared" si="135"/>
        <v>12105.17</v>
      </c>
      <c r="N121" s="375">
        <f t="shared" si="138"/>
        <v>0</v>
      </c>
      <c r="O121" s="375">
        <f t="shared" si="136"/>
        <v>0</v>
      </c>
      <c r="P121" s="375"/>
      <c r="Q121" s="375">
        <f t="shared" si="105"/>
        <v>0</v>
      </c>
      <c r="R121" s="375"/>
      <c r="S121" s="375"/>
      <c r="T121" s="375">
        <f t="shared" si="137"/>
        <v>0</v>
      </c>
      <c r="U121" s="375">
        <f t="shared" si="106"/>
        <v>0</v>
      </c>
      <c r="V121" s="375">
        <f t="shared" si="106"/>
        <v>0</v>
      </c>
      <c r="AD121" s="83"/>
      <c r="AE121" s="83"/>
      <c r="AF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83"/>
      <c r="JA121" s="83"/>
      <c r="JB121" s="83"/>
      <c r="JC121" s="83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83"/>
      <c r="JO121" s="83"/>
      <c r="JP121" s="83"/>
      <c r="JQ121" s="83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83"/>
      <c r="KC121" s="83"/>
      <c r="KD121" s="83"/>
      <c r="KE121" s="83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83"/>
      <c r="KQ121" s="83"/>
      <c r="KR121" s="83"/>
      <c r="KS121" s="83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83"/>
      <c r="LE121" s="83"/>
      <c r="LF121" s="83"/>
      <c r="LG121" s="83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83"/>
      <c r="LS121" s="83"/>
      <c r="LT121" s="83"/>
      <c r="LU121" s="83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83"/>
      <c r="MG121" s="83"/>
      <c r="MH121" s="83"/>
      <c r="MI121" s="83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83"/>
      <c r="MU121" s="83"/>
      <c r="MV121" s="83"/>
      <c r="MW121" s="83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  <c r="NH121" s="83"/>
      <c r="NI121" s="83"/>
      <c r="NJ121" s="83"/>
      <c r="NK121" s="83"/>
      <c r="NL121" s="83"/>
      <c r="NM121" s="83"/>
      <c r="NN121" s="83"/>
      <c r="NO121" s="83"/>
      <c r="NP121" s="83"/>
      <c r="NQ121" s="83"/>
      <c r="NR121" s="83"/>
      <c r="NS121" s="83"/>
      <c r="NT121" s="83"/>
      <c r="NU121" s="83"/>
      <c r="NV121" s="83"/>
      <c r="NW121" s="83"/>
      <c r="NX121" s="83"/>
      <c r="NY121" s="83"/>
      <c r="NZ121" s="83"/>
      <c r="OA121" s="83"/>
      <c r="OB121" s="83"/>
      <c r="OC121" s="83"/>
      <c r="OD121" s="83"/>
      <c r="OE121" s="83"/>
      <c r="OF121" s="83"/>
      <c r="OG121" s="83"/>
      <c r="OH121" s="83"/>
      <c r="OI121" s="83"/>
      <c r="OJ121" s="83"/>
      <c r="OK121" s="83"/>
      <c r="OL121" s="83"/>
      <c r="OM121" s="83"/>
      <c r="ON121" s="83"/>
      <c r="OO121" s="83"/>
      <c r="OP121" s="83"/>
      <c r="OQ121" s="83"/>
      <c r="OR121" s="83"/>
      <c r="OS121" s="83"/>
      <c r="OT121" s="83"/>
      <c r="OU121" s="83"/>
      <c r="OV121" s="83"/>
      <c r="OW121" s="83"/>
      <c r="OX121" s="83"/>
      <c r="OY121" s="83"/>
      <c r="OZ121" s="83"/>
      <c r="PA121" s="83"/>
      <c r="PB121" s="83"/>
      <c r="PC121" s="83"/>
      <c r="PD121" s="83"/>
      <c r="PE121" s="83"/>
      <c r="PF121" s="83"/>
      <c r="PG121" s="83"/>
      <c r="PH121" s="83"/>
      <c r="PI121" s="83"/>
      <c r="PJ121" s="83"/>
      <c r="PK121" s="83"/>
      <c r="PL121" s="83"/>
      <c r="PM121" s="83"/>
      <c r="PN121" s="83"/>
      <c r="PO121" s="83"/>
      <c r="PP121" s="83"/>
      <c r="PQ121" s="83"/>
      <c r="PR121" s="83"/>
      <c r="PS121" s="83"/>
      <c r="PT121" s="83"/>
      <c r="PU121" s="83"/>
      <c r="PV121" s="83"/>
      <c r="PW121" s="83"/>
      <c r="PX121" s="83"/>
      <c r="PY121" s="83"/>
      <c r="PZ121" s="83"/>
      <c r="QA121" s="83"/>
      <c r="QB121" s="83"/>
      <c r="QC121" s="83"/>
      <c r="QD121" s="83"/>
      <c r="QE121" s="83"/>
      <c r="QF121" s="83"/>
      <c r="QG121" s="83"/>
      <c r="QH121" s="83"/>
      <c r="QI121" s="83"/>
      <c r="QJ121" s="83"/>
      <c r="QK121" s="83"/>
      <c r="QL121" s="83"/>
      <c r="QM121" s="83"/>
      <c r="QN121" s="83"/>
      <c r="QO121" s="83"/>
      <c r="QP121" s="83"/>
      <c r="QQ121" s="83"/>
      <c r="QR121" s="83"/>
      <c r="QS121" s="83"/>
      <c r="QT121" s="83"/>
      <c r="QU121" s="83"/>
      <c r="QV121" s="83"/>
      <c r="QW121" s="83"/>
      <c r="QX121" s="83"/>
      <c r="QY121" s="83"/>
      <c r="QZ121" s="83"/>
      <c r="RA121" s="83"/>
      <c r="RB121" s="83"/>
      <c r="RC121" s="83"/>
      <c r="RD121" s="83"/>
      <c r="RE121" s="83"/>
      <c r="RF121" s="83"/>
      <c r="RG121" s="83"/>
      <c r="RH121" s="83"/>
      <c r="RI121" s="83"/>
      <c r="RJ121" s="83"/>
      <c r="RK121" s="83"/>
      <c r="RL121" s="83"/>
      <c r="RM121" s="83"/>
      <c r="RN121" s="83"/>
      <c r="RO121" s="83"/>
      <c r="RP121" s="83"/>
      <c r="RQ121" s="83"/>
      <c r="RR121" s="83"/>
      <c r="RS121" s="83"/>
      <c r="RT121" s="83"/>
      <c r="RU121" s="83"/>
      <c r="RV121" s="83"/>
      <c r="RW121" s="83"/>
      <c r="RX121" s="83"/>
      <c r="RY121" s="83"/>
      <c r="RZ121" s="83"/>
      <c r="SA121" s="83"/>
      <c r="SB121" s="83"/>
      <c r="SC121" s="83"/>
      <c r="SD121" s="83"/>
      <c r="SE121" s="83"/>
      <c r="SF121" s="83"/>
      <c r="SG121" s="83"/>
      <c r="SH121" s="83"/>
      <c r="SI121" s="83"/>
      <c r="SJ121" s="83"/>
      <c r="SK121" s="83"/>
      <c r="SL121" s="83"/>
      <c r="SM121" s="83"/>
      <c r="SN121" s="83"/>
      <c r="SO121" s="83"/>
      <c r="SP121" s="83"/>
      <c r="SQ121" s="83"/>
      <c r="SR121" s="83"/>
      <c r="SS121" s="83"/>
      <c r="ST121" s="83"/>
    </row>
    <row r="122" spans="1:514" s="376" customFormat="1" ht="47.4" customHeight="1" x14ac:dyDescent="0.25">
      <c r="A122" s="373"/>
      <c r="B122" s="745" t="s">
        <v>538</v>
      </c>
      <c r="C122" s="867"/>
      <c r="D122" s="373" t="s">
        <v>130</v>
      </c>
      <c r="E122" s="374">
        <v>0</v>
      </c>
      <c r="F122" s="374">
        <v>5</v>
      </c>
      <c r="G122" s="640">
        <v>2</v>
      </c>
      <c r="H122" s="374">
        <v>2</v>
      </c>
      <c r="I122" s="374">
        <v>2</v>
      </c>
      <c r="J122" s="375">
        <v>9078.8799999999992</v>
      </c>
      <c r="K122" s="375">
        <v>0</v>
      </c>
      <c r="L122" s="375">
        <v>0</v>
      </c>
      <c r="M122" s="375">
        <f t="shared" si="135"/>
        <v>9078.8799999999992</v>
      </c>
      <c r="N122" s="375">
        <f t="shared" si="138"/>
        <v>18157.759999999998</v>
      </c>
      <c r="O122" s="375">
        <f t="shared" si="136"/>
        <v>0</v>
      </c>
      <c r="P122" s="375"/>
      <c r="Q122" s="375">
        <f t="shared" si="105"/>
        <v>0</v>
      </c>
      <c r="R122" s="375"/>
      <c r="S122" s="375"/>
      <c r="T122" s="375">
        <f t="shared" si="137"/>
        <v>18157.759999999998</v>
      </c>
      <c r="U122" s="375">
        <f t="shared" si="106"/>
        <v>18157.759999999998</v>
      </c>
      <c r="V122" s="375">
        <f t="shared" si="106"/>
        <v>18157.759999999998</v>
      </c>
      <c r="AD122" s="83"/>
      <c r="AE122" s="83"/>
      <c r="AF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  <c r="IX122" s="83"/>
      <c r="IY122" s="83"/>
      <c r="IZ122" s="83"/>
      <c r="JA122" s="83"/>
      <c r="JB122" s="83"/>
      <c r="JC122" s="83"/>
      <c r="JD122" s="83"/>
      <c r="JE122" s="83"/>
      <c r="JF122" s="83"/>
      <c r="JG122" s="83"/>
      <c r="JH122" s="83"/>
      <c r="JI122" s="83"/>
      <c r="JJ122" s="83"/>
      <c r="JK122" s="83"/>
      <c r="JL122" s="83"/>
      <c r="JM122" s="83"/>
      <c r="JN122" s="83"/>
      <c r="JO122" s="83"/>
      <c r="JP122" s="83"/>
      <c r="JQ122" s="83"/>
      <c r="JR122" s="83"/>
      <c r="JS122" s="83"/>
      <c r="JT122" s="83"/>
      <c r="JU122" s="83"/>
      <c r="JV122" s="83"/>
      <c r="JW122" s="83"/>
      <c r="JX122" s="83"/>
      <c r="JY122" s="83"/>
      <c r="JZ122" s="83"/>
      <c r="KA122" s="83"/>
      <c r="KB122" s="83"/>
      <c r="KC122" s="83"/>
      <c r="KD122" s="83"/>
      <c r="KE122" s="83"/>
      <c r="KF122" s="83"/>
      <c r="KG122" s="83"/>
      <c r="KH122" s="83"/>
      <c r="KI122" s="83"/>
      <c r="KJ122" s="83"/>
      <c r="KK122" s="83"/>
      <c r="KL122" s="83"/>
      <c r="KM122" s="83"/>
      <c r="KN122" s="83"/>
      <c r="KO122" s="83"/>
      <c r="KP122" s="83"/>
      <c r="KQ122" s="83"/>
      <c r="KR122" s="83"/>
      <c r="KS122" s="83"/>
      <c r="KT122" s="83"/>
      <c r="KU122" s="83"/>
      <c r="KV122" s="83"/>
      <c r="KW122" s="83"/>
      <c r="KX122" s="83"/>
      <c r="KY122" s="83"/>
      <c r="KZ122" s="83"/>
      <c r="LA122" s="83"/>
      <c r="LB122" s="83"/>
      <c r="LC122" s="83"/>
      <c r="LD122" s="83"/>
      <c r="LE122" s="83"/>
      <c r="LF122" s="83"/>
      <c r="LG122" s="83"/>
      <c r="LH122" s="83"/>
      <c r="LI122" s="83"/>
      <c r="LJ122" s="83"/>
      <c r="LK122" s="83"/>
      <c r="LL122" s="83"/>
      <c r="LM122" s="83"/>
      <c r="LN122" s="83"/>
      <c r="LO122" s="83"/>
      <c r="LP122" s="83"/>
      <c r="LQ122" s="83"/>
      <c r="LR122" s="83"/>
      <c r="LS122" s="83"/>
      <c r="LT122" s="83"/>
      <c r="LU122" s="83"/>
      <c r="LV122" s="83"/>
      <c r="LW122" s="83"/>
      <c r="LX122" s="83"/>
      <c r="LY122" s="83"/>
      <c r="LZ122" s="83"/>
      <c r="MA122" s="83"/>
      <c r="MB122" s="83"/>
      <c r="MC122" s="83"/>
      <c r="MD122" s="83"/>
      <c r="ME122" s="83"/>
      <c r="MF122" s="83"/>
      <c r="MG122" s="83"/>
      <c r="MH122" s="83"/>
      <c r="MI122" s="83"/>
      <c r="MJ122" s="83"/>
      <c r="MK122" s="83"/>
      <c r="ML122" s="83"/>
      <c r="MM122" s="83"/>
      <c r="MN122" s="83"/>
      <c r="MO122" s="83"/>
      <c r="MP122" s="83"/>
      <c r="MQ122" s="83"/>
      <c r="MR122" s="83"/>
      <c r="MS122" s="83"/>
      <c r="MT122" s="83"/>
      <c r="MU122" s="83"/>
      <c r="MV122" s="83"/>
      <c r="MW122" s="83"/>
      <c r="MX122" s="83"/>
      <c r="MY122" s="83"/>
      <c r="MZ122" s="83"/>
      <c r="NA122" s="83"/>
      <c r="NB122" s="83"/>
      <c r="NC122" s="83"/>
      <c r="ND122" s="83"/>
      <c r="NE122" s="83"/>
      <c r="NF122" s="83"/>
      <c r="NG122" s="83"/>
      <c r="NH122" s="83"/>
      <c r="NI122" s="83"/>
      <c r="NJ122" s="83"/>
      <c r="NK122" s="83"/>
      <c r="NL122" s="83"/>
      <c r="NM122" s="83"/>
      <c r="NN122" s="83"/>
      <c r="NO122" s="83"/>
      <c r="NP122" s="83"/>
      <c r="NQ122" s="83"/>
      <c r="NR122" s="83"/>
      <c r="NS122" s="83"/>
      <c r="NT122" s="83"/>
      <c r="NU122" s="83"/>
      <c r="NV122" s="83"/>
      <c r="NW122" s="83"/>
      <c r="NX122" s="83"/>
      <c r="NY122" s="83"/>
      <c r="NZ122" s="83"/>
      <c r="OA122" s="83"/>
      <c r="OB122" s="83"/>
      <c r="OC122" s="83"/>
      <c r="OD122" s="83"/>
      <c r="OE122" s="83"/>
      <c r="OF122" s="83"/>
      <c r="OG122" s="83"/>
      <c r="OH122" s="83"/>
      <c r="OI122" s="83"/>
      <c r="OJ122" s="83"/>
      <c r="OK122" s="83"/>
      <c r="OL122" s="83"/>
      <c r="OM122" s="83"/>
      <c r="ON122" s="83"/>
      <c r="OO122" s="83"/>
      <c r="OP122" s="83"/>
      <c r="OQ122" s="83"/>
      <c r="OR122" s="83"/>
      <c r="OS122" s="83"/>
      <c r="OT122" s="83"/>
      <c r="OU122" s="83"/>
      <c r="OV122" s="83"/>
      <c r="OW122" s="83"/>
      <c r="OX122" s="83"/>
      <c r="OY122" s="83"/>
      <c r="OZ122" s="83"/>
      <c r="PA122" s="83"/>
      <c r="PB122" s="83"/>
      <c r="PC122" s="83"/>
      <c r="PD122" s="83"/>
      <c r="PE122" s="83"/>
      <c r="PF122" s="83"/>
      <c r="PG122" s="83"/>
      <c r="PH122" s="83"/>
      <c r="PI122" s="83"/>
      <c r="PJ122" s="83"/>
      <c r="PK122" s="83"/>
      <c r="PL122" s="83"/>
      <c r="PM122" s="83"/>
      <c r="PN122" s="83"/>
      <c r="PO122" s="83"/>
      <c r="PP122" s="83"/>
      <c r="PQ122" s="83"/>
      <c r="PR122" s="83"/>
      <c r="PS122" s="83"/>
      <c r="PT122" s="83"/>
      <c r="PU122" s="83"/>
      <c r="PV122" s="83"/>
      <c r="PW122" s="83"/>
      <c r="PX122" s="83"/>
      <c r="PY122" s="83"/>
      <c r="PZ122" s="83"/>
      <c r="QA122" s="83"/>
      <c r="QB122" s="83"/>
      <c r="QC122" s="83"/>
      <c r="QD122" s="83"/>
      <c r="QE122" s="83"/>
      <c r="QF122" s="83"/>
      <c r="QG122" s="83"/>
      <c r="QH122" s="83"/>
      <c r="QI122" s="83"/>
      <c r="QJ122" s="83"/>
      <c r="QK122" s="83"/>
      <c r="QL122" s="83"/>
      <c r="QM122" s="83"/>
      <c r="QN122" s="83"/>
      <c r="QO122" s="83"/>
      <c r="QP122" s="83"/>
      <c r="QQ122" s="83"/>
      <c r="QR122" s="83"/>
      <c r="QS122" s="83"/>
      <c r="QT122" s="83"/>
      <c r="QU122" s="83"/>
      <c r="QV122" s="83"/>
      <c r="QW122" s="83"/>
      <c r="QX122" s="83"/>
      <c r="QY122" s="83"/>
      <c r="QZ122" s="83"/>
      <c r="RA122" s="83"/>
      <c r="RB122" s="83"/>
      <c r="RC122" s="83"/>
      <c r="RD122" s="83"/>
      <c r="RE122" s="83"/>
      <c r="RF122" s="83"/>
      <c r="RG122" s="83"/>
      <c r="RH122" s="83"/>
      <c r="RI122" s="83"/>
      <c r="RJ122" s="83"/>
      <c r="RK122" s="83"/>
      <c r="RL122" s="83"/>
      <c r="RM122" s="83"/>
      <c r="RN122" s="83"/>
      <c r="RO122" s="83"/>
      <c r="RP122" s="83"/>
      <c r="RQ122" s="83"/>
      <c r="RR122" s="83"/>
      <c r="RS122" s="83"/>
      <c r="RT122" s="83"/>
      <c r="RU122" s="83"/>
      <c r="RV122" s="83"/>
      <c r="RW122" s="83"/>
      <c r="RX122" s="83"/>
      <c r="RY122" s="83"/>
      <c r="RZ122" s="83"/>
      <c r="SA122" s="83"/>
      <c r="SB122" s="83"/>
      <c r="SC122" s="83"/>
      <c r="SD122" s="83"/>
      <c r="SE122" s="83"/>
      <c r="SF122" s="83"/>
      <c r="SG122" s="83"/>
      <c r="SH122" s="83"/>
      <c r="SI122" s="83"/>
      <c r="SJ122" s="83"/>
      <c r="SK122" s="83"/>
      <c r="SL122" s="83"/>
      <c r="SM122" s="83"/>
      <c r="SN122" s="83"/>
      <c r="SO122" s="83"/>
      <c r="SP122" s="83"/>
      <c r="SQ122" s="83"/>
      <c r="SR122" s="83"/>
      <c r="SS122" s="83"/>
      <c r="ST122" s="83"/>
    </row>
    <row r="123" spans="1:514" s="376" customFormat="1" ht="47.4" customHeight="1" x14ac:dyDescent="0.25">
      <c r="A123" s="373"/>
      <c r="B123" s="377" t="s">
        <v>539</v>
      </c>
      <c r="C123" s="867"/>
      <c r="D123" s="373" t="s">
        <v>130</v>
      </c>
      <c r="E123" s="374">
        <v>0</v>
      </c>
      <c r="F123" s="374">
        <v>8</v>
      </c>
      <c r="G123" s="640">
        <v>2</v>
      </c>
      <c r="H123" s="374">
        <v>2</v>
      </c>
      <c r="I123" s="374">
        <v>2</v>
      </c>
      <c r="J123" s="375">
        <v>14526.21</v>
      </c>
      <c r="K123" s="375">
        <v>0</v>
      </c>
      <c r="L123" s="375">
        <v>0</v>
      </c>
      <c r="M123" s="375">
        <f t="shared" si="135"/>
        <v>14526.21</v>
      </c>
      <c r="N123" s="375">
        <f t="shared" si="138"/>
        <v>29052.42</v>
      </c>
      <c r="O123" s="375">
        <f t="shared" si="136"/>
        <v>0</v>
      </c>
      <c r="P123" s="375"/>
      <c r="Q123" s="375">
        <f t="shared" si="105"/>
        <v>0</v>
      </c>
      <c r="R123" s="375"/>
      <c r="S123" s="375"/>
      <c r="T123" s="375">
        <f t="shared" si="137"/>
        <v>29052.42</v>
      </c>
      <c r="U123" s="375">
        <f t="shared" si="106"/>
        <v>29052.42</v>
      </c>
      <c r="V123" s="375">
        <f t="shared" si="106"/>
        <v>29052.42</v>
      </c>
      <c r="AD123" s="83"/>
      <c r="AE123" s="83"/>
      <c r="AF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83"/>
      <c r="HK123" s="83"/>
      <c r="HL123" s="83"/>
      <c r="HM123" s="83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83"/>
      <c r="JA123" s="83"/>
      <c r="JB123" s="83"/>
      <c r="JC123" s="83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83"/>
      <c r="JO123" s="83"/>
      <c r="JP123" s="83"/>
      <c r="JQ123" s="83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83"/>
      <c r="KC123" s="83"/>
      <c r="KD123" s="83"/>
      <c r="KE123" s="83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83"/>
      <c r="KQ123" s="83"/>
      <c r="KR123" s="83"/>
      <c r="KS123" s="83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83"/>
      <c r="LE123" s="83"/>
      <c r="LF123" s="83"/>
      <c r="LG123" s="83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83"/>
      <c r="LS123" s="83"/>
      <c r="LT123" s="83"/>
      <c r="LU123" s="83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83"/>
      <c r="MG123" s="83"/>
      <c r="MH123" s="83"/>
      <c r="MI123" s="83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83"/>
      <c r="MU123" s="83"/>
      <c r="MV123" s="83"/>
      <c r="MW123" s="83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  <c r="NH123" s="83"/>
      <c r="NI123" s="83"/>
      <c r="NJ123" s="83"/>
      <c r="NK123" s="83"/>
      <c r="NL123" s="83"/>
      <c r="NM123" s="83"/>
      <c r="NN123" s="83"/>
      <c r="NO123" s="83"/>
      <c r="NP123" s="83"/>
      <c r="NQ123" s="83"/>
      <c r="NR123" s="83"/>
      <c r="NS123" s="83"/>
      <c r="NT123" s="83"/>
      <c r="NU123" s="83"/>
      <c r="NV123" s="83"/>
      <c r="NW123" s="83"/>
      <c r="NX123" s="83"/>
      <c r="NY123" s="83"/>
      <c r="NZ123" s="83"/>
      <c r="OA123" s="83"/>
      <c r="OB123" s="83"/>
      <c r="OC123" s="83"/>
      <c r="OD123" s="83"/>
      <c r="OE123" s="83"/>
      <c r="OF123" s="83"/>
      <c r="OG123" s="83"/>
      <c r="OH123" s="83"/>
      <c r="OI123" s="83"/>
      <c r="OJ123" s="83"/>
      <c r="OK123" s="83"/>
      <c r="OL123" s="83"/>
      <c r="OM123" s="83"/>
      <c r="ON123" s="83"/>
      <c r="OO123" s="83"/>
      <c r="OP123" s="83"/>
      <c r="OQ123" s="83"/>
      <c r="OR123" s="83"/>
      <c r="OS123" s="83"/>
      <c r="OT123" s="83"/>
      <c r="OU123" s="83"/>
      <c r="OV123" s="83"/>
      <c r="OW123" s="83"/>
      <c r="OX123" s="83"/>
      <c r="OY123" s="83"/>
      <c r="OZ123" s="83"/>
      <c r="PA123" s="83"/>
      <c r="PB123" s="83"/>
      <c r="PC123" s="83"/>
      <c r="PD123" s="83"/>
      <c r="PE123" s="83"/>
      <c r="PF123" s="83"/>
      <c r="PG123" s="83"/>
      <c r="PH123" s="83"/>
      <c r="PI123" s="83"/>
      <c r="PJ123" s="83"/>
      <c r="PK123" s="83"/>
      <c r="PL123" s="83"/>
      <c r="PM123" s="83"/>
      <c r="PN123" s="83"/>
      <c r="PO123" s="83"/>
      <c r="PP123" s="83"/>
      <c r="PQ123" s="83"/>
      <c r="PR123" s="83"/>
      <c r="PS123" s="83"/>
      <c r="PT123" s="83"/>
      <c r="PU123" s="83"/>
      <c r="PV123" s="83"/>
      <c r="PW123" s="83"/>
      <c r="PX123" s="83"/>
      <c r="PY123" s="83"/>
      <c r="PZ123" s="83"/>
      <c r="QA123" s="83"/>
      <c r="QB123" s="83"/>
      <c r="QC123" s="83"/>
      <c r="QD123" s="83"/>
      <c r="QE123" s="83"/>
      <c r="QF123" s="83"/>
      <c r="QG123" s="83"/>
      <c r="QH123" s="83"/>
      <c r="QI123" s="83"/>
      <c r="QJ123" s="83"/>
      <c r="QK123" s="83"/>
      <c r="QL123" s="83"/>
      <c r="QM123" s="83"/>
      <c r="QN123" s="83"/>
      <c r="QO123" s="83"/>
      <c r="QP123" s="83"/>
      <c r="QQ123" s="83"/>
      <c r="QR123" s="83"/>
      <c r="QS123" s="83"/>
      <c r="QT123" s="83"/>
      <c r="QU123" s="83"/>
      <c r="QV123" s="83"/>
      <c r="QW123" s="83"/>
      <c r="QX123" s="83"/>
      <c r="QY123" s="83"/>
      <c r="QZ123" s="83"/>
      <c r="RA123" s="83"/>
      <c r="RB123" s="83"/>
      <c r="RC123" s="83"/>
      <c r="RD123" s="83"/>
      <c r="RE123" s="83"/>
      <c r="RF123" s="83"/>
      <c r="RG123" s="83"/>
      <c r="RH123" s="83"/>
      <c r="RI123" s="83"/>
      <c r="RJ123" s="83"/>
      <c r="RK123" s="83"/>
      <c r="RL123" s="83"/>
      <c r="RM123" s="83"/>
      <c r="RN123" s="83"/>
      <c r="RO123" s="83"/>
      <c r="RP123" s="83"/>
      <c r="RQ123" s="83"/>
      <c r="RR123" s="83"/>
      <c r="RS123" s="83"/>
      <c r="RT123" s="83"/>
      <c r="RU123" s="83"/>
      <c r="RV123" s="83"/>
      <c r="RW123" s="83"/>
      <c r="RX123" s="83"/>
      <c r="RY123" s="83"/>
      <c r="RZ123" s="83"/>
      <c r="SA123" s="83"/>
      <c r="SB123" s="83"/>
      <c r="SC123" s="83"/>
      <c r="SD123" s="83"/>
      <c r="SE123" s="83"/>
      <c r="SF123" s="83"/>
      <c r="SG123" s="83"/>
      <c r="SH123" s="83"/>
      <c r="SI123" s="83"/>
      <c r="SJ123" s="83"/>
      <c r="SK123" s="83"/>
      <c r="SL123" s="83"/>
      <c r="SM123" s="83"/>
      <c r="SN123" s="83"/>
      <c r="SO123" s="83"/>
      <c r="SP123" s="83"/>
      <c r="SQ123" s="83"/>
      <c r="SR123" s="83"/>
      <c r="SS123" s="83"/>
      <c r="ST123" s="83"/>
    </row>
    <row r="124" spans="1:514" s="376" customFormat="1" ht="28.95" customHeight="1" x14ac:dyDescent="0.25">
      <c r="A124" s="373"/>
      <c r="B124" s="377" t="s">
        <v>593</v>
      </c>
      <c r="C124" s="868"/>
      <c r="D124" s="373" t="s">
        <v>130</v>
      </c>
      <c r="E124" s="374">
        <v>6</v>
      </c>
      <c r="F124" s="374">
        <v>0</v>
      </c>
      <c r="G124" s="640">
        <v>3</v>
      </c>
      <c r="H124" s="374">
        <v>3</v>
      </c>
      <c r="I124" s="374">
        <v>3</v>
      </c>
      <c r="J124" s="375">
        <v>7263.1</v>
      </c>
      <c r="K124" s="375">
        <v>0</v>
      </c>
      <c r="L124" s="375">
        <v>0</v>
      </c>
      <c r="M124" s="375">
        <f t="shared" si="135"/>
        <v>7263.1</v>
      </c>
      <c r="N124" s="375">
        <f t="shared" si="138"/>
        <v>21789.300000000003</v>
      </c>
      <c r="O124" s="375">
        <f t="shared" si="136"/>
        <v>0</v>
      </c>
      <c r="P124" s="375"/>
      <c r="Q124" s="375">
        <f t="shared" si="105"/>
        <v>0</v>
      </c>
      <c r="R124" s="375"/>
      <c r="S124" s="375"/>
      <c r="T124" s="375">
        <f t="shared" si="109"/>
        <v>21789.300000000003</v>
      </c>
      <c r="U124" s="375">
        <f t="shared" si="106"/>
        <v>21789.300000000003</v>
      </c>
      <c r="V124" s="375">
        <f t="shared" si="106"/>
        <v>21789.300000000003</v>
      </c>
      <c r="AD124" s="83"/>
      <c r="AE124" s="83"/>
      <c r="AF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  <c r="IX124" s="83"/>
      <c r="IY124" s="83"/>
      <c r="IZ124" s="83"/>
      <c r="JA124" s="83"/>
      <c r="JB124" s="83"/>
      <c r="JC124" s="83"/>
      <c r="JD124" s="83"/>
      <c r="JE124" s="83"/>
      <c r="JF124" s="83"/>
      <c r="JG124" s="83"/>
      <c r="JH124" s="83"/>
      <c r="JI124" s="83"/>
      <c r="JJ124" s="83"/>
      <c r="JK124" s="83"/>
      <c r="JL124" s="83"/>
      <c r="JM124" s="83"/>
      <c r="JN124" s="83"/>
      <c r="JO124" s="83"/>
      <c r="JP124" s="83"/>
      <c r="JQ124" s="83"/>
      <c r="JR124" s="83"/>
      <c r="JS124" s="83"/>
      <c r="JT124" s="83"/>
      <c r="JU124" s="83"/>
      <c r="JV124" s="83"/>
      <c r="JW124" s="83"/>
      <c r="JX124" s="83"/>
      <c r="JY124" s="83"/>
      <c r="JZ124" s="83"/>
      <c r="KA124" s="83"/>
      <c r="KB124" s="83"/>
      <c r="KC124" s="83"/>
      <c r="KD124" s="83"/>
      <c r="KE124" s="83"/>
      <c r="KF124" s="83"/>
      <c r="KG124" s="83"/>
      <c r="KH124" s="83"/>
      <c r="KI124" s="83"/>
      <c r="KJ124" s="83"/>
      <c r="KK124" s="83"/>
      <c r="KL124" s="83"/>
      <c r="KM124" s="83"/>
      <c r="KN124" s="83"/>
      <c r="KO124" s="83"/>
      <c r="KP124" s="83"/>
      <c r="KQ124" s="83"/>
      <c r="KR124" s="83"/>
      <c r="KS124" s="83"/>
      <c r="KT124" s="83"/>
      <c r="KU124" s="83"/>
      <c r="KV124" s="83"/>
      <c r="KW124" s="83"/>
      <c r="KX124" s="83"/>
      <c r="KY124" s="83"/>
      <c r="KZ124" s="83"/>
      <c r="LA124" s="83"/>
      <c r="LB124" s="83"/>
      <c r="LC124" s="83"/>
      <c r="LD124" s="83"/>
      <c r="LE124" s="83"/>
      <c r="LF124" s="83"/>
      <c r="LG124" s="83"/>
      <c r="LH124" s="83"/>
      <c r="LI124" s="83"/>
      <c r="LJ124" s="83"/>
      <c r="LK124" s="83"/>
      <c r="LL124" s="83"/>
      <c r="LM124" s="83"/>
      <c r="LN124" s="83"/>
      <c r="LO124" s="83"/>
      <c r="LP124" s="83"/>
      <c r="LQ124" s="83"/>
      <c r="LR124" s="83"/>
      <c r="LS124" s="83"/>
      <c r="LT124" s="83"/>
      <c r="LU124" s="83"/>
      <c r="LV124" s="83"/>
      <c r="LW124" s="83"/>
      <c r="LX124" s="83"/>
      <c r="LY124" s="83"/>
      <c r="LZ124" s="83"/>
      <c r="MA124" s="83"/>
      <c r="MB124" s="83"/>
      <c r="MC124" s="83"/>
      <c r="MD124" s="83"/>
      <c r="ME124" s="83"/>
      <c r="MF124" s="83"/>
      <c r="MG124" s="83"/>
      <c r="MH124" s="83"/>
      <c r="MI124" s="83"/>
      <c r="MJ124" s="83"/>
      <c r="MK124" s="83"/>
      <c r="ML124" s="83"/>
      <c r="MM124" s="83"/>
      <c r="MN124" s="83"/>
      <c r="MO124" s="83"/>
      <c r="MP124" s="83"/>
      <c r="MQ124" s="83"/>
      <c r="MR124" s="83"/>
      <c r="MS124" s="83"/>
      <c r="MT124" s="83"/>
      <c r="MU124" s="83"/>
      <c r="MV124" s="83"/>
      <c r="MW124" s="83"/>
      <c r="MX124" s="83"/>
      <c r="MY124" s="83"/>
      <c r="MZ124" s="83"/>
      <c r="NA124" s="83"/>
      <c r="NB124" s="83"/>
      <c r="NC124" s="83"/>
      <c r="ND124" s="83"/>
      <c r="NE124" s="83"/>
      <c r="NF124" s="83"/>
      <c r="NG124" s="83"/>
      <c r="NH124" s="83"/>
      <c r="NI124" s="83"/>
      <c r="NJ124" s="83"/>
      <c r="NK124" s="83"/>
      <c r="NL124" s="83"/>
      <c r="NM124" s="83"/>
      <c r="NN124" s="83"/>
      <c r="NO124" s="83"/>
      <c r="NP124" s="83"/>
      <c r="NQ124" s="83"/>
      <c r="NR124" s="83"/>
      <c r="NS124" s="83"/>
      <c r="NT124" s="83"/>
      <c r="NU124" s="83"/>
      <c r="NV124" s="83"/>
      <c r="NW124" s="83"/>
      <c r="NX124" s="83"/>
      <c r="NY124" s="83"/>
      <c r="NZ124" s="83"/>
      <c r="OA124" s="83"/>
      <c r="OB124" s="83"/>
      <c r="OC124" s="83"/>
      <c r="OD124" s="83"/>
      <c r="OE124" s="83"/>
      <c r="OF124" s="83"/>
      <c r="OG124" s="83"/>
      <c r="OH124" s="83"/>
      <c r="OI124" s="83"/>
      <c r="OJ124" s="83"/>
      <c r="OK124" s="83"/>
      <c r="OL124" s="83"/>
      <c r="OM124" s="83"/>
      <c r="ON124" s="83"/>
      <c r="OO124" s="83"/>
      <c r="OP124" s="83"/>
      <c r="OQ124" s="83"/>
      <c r="OR124" s="83"/>
      <c r="OS124" s="83"/>
      <c r="OT124" s="83"/>
      <c r="OU124" s="83"/>
      <c r="OV124" s="83"/>
      <c r="OW124" s="83"/>
      <c r="OX124" s="83"/>
      <c r="OY124" s="83"/>
      <c r="OZ124" s="83"/>
      <c r="PA124" s="83"/>
      <c r="PB124" s="83"/>
      <c r="PC124" s="83"/>
      <c r="PD124" s="83"/>
      <c r="PE124" s="83"/>
      <c r="PF124" s="83"/>
      <c r="PG124" s="83"/>
      <c r="PH124" s="83"/>
      <c r="PI124" s="83"/>
      <c r="PJ124" s="83"/>
      <c r="PK124" s="83"/>
      <c r="PL124" s="83"/>
      <c r="PM124" s="83"/>
      <c r="PN124" s="83"/>
      <c r="PO124" s="83"/>
      <c r="PP124" s="83"/>
      <c r="PQ124" s="83"/>
      <c r="PR124" s="83"/>
      <c r="PS124" s="83"/>
      <c r="PT124" s="83"/>
      <c r="PU124" s="83"/>
      <c r="PV124" s="83"/>
      <c r="PW124" s="83"/>
      <c r="PX124" s="83"/>
      <c r="PY124" s="83"/>
      <c r="PZ124" s="83"/>
      <c r="QA124" s="83"/>
      <c r="QB124" s="83"/>
      <c r="QC124" s="83"/>
      <c r="QD124" s="83"/>
      <c r="QE124" s="83"/>
      <c r="QF124" s="83"/>
      <c r="QG124" s="83"/>
      <c r="QH124" s="83"/>
      <c r="QI124" s="83"/>
      <c r="QJ124" s="83"/>
      <c r="QK124" s="83"/>
      <c r="QL124" s="83"/>
      <c r="QM124" s="83"/>
      <c r="QN124" s="83"/>
      <c r="QO124" s="83"/>
      <c r="QP124" s="83"/>
      <c r="QQ124" s="83"/>
      <c r="QR124" s="83"/>
      <c r="QS124" s="83"/>
      <c r="QT124" s="83"/>
      <c r="QU124" s="83"/>
      <c r="QV124" s="83"/>
      <c r="QW124" s="83"/>
      <c r="QX124" s="83"/>
      <c r="QY124" s="83"/>
      <c r="QZ124" s="83"/>
      <c r="RA124" s="83"/>
      <c r="RB124" s="83"/>
      <c r="RC124" s="83"/>
      <c r="RD124" s="83"/>
      <c r="RE124" s="83"/>
      <c r="RF124" s="83"/>
      <c r="RG124" s="83"/>
      <c r="RH124" s="83"/>
      <c r="RI124" s="83"/>
      <c r="RJ124" s="83"/>
      <c r="RK124" s="83"/>
      <c r="RL124" s="83"/>
      <c r="RM124" s="83"/>
      <c r="RN124" s="83"/>
      <c r="RO124" s="83"/>
      <c r="RP124" s="83"/>
      <c r="RQ124" s="83"/>
      <c r="RR124" s="83"/>
      <c r="RS124" s="83"/>
      <c r="RT124" s="83"/>
      <c r="RU124" s="83"/>
      <c r="RV124" s="83"/>
      <c r="RW124" s="83"/>
      <c r="RX124" s="83"/>
      <c r="RY124" s="83"/>
      <c r="RZ124" s="83"/>
      <c r="SA124" s="83"/>
      <c r="SB124" s="83"/>
      <c r="SC124" s="83"/>
      <c r="SD124" s="83"/>
      <c r="SE124" s="83"/>
      <c r="SF124" s="83"/>
      <c r="SG124" s="83"/>
      <c r="SH124" s="83"/>
      <c r="SI124" s="83"/>
      <c r="SJ124" s="83"/>
      <c r="SK124" s="83"/>
      <c r="SL124" s="83"/>
      <c r="SM124" s="83"/>
      <c r="SN124" s="83"/>
      <c r="SO124" s="83"/>
      <c r="SP124" s="83"/>
      <c r="SQ124" s="83"/>
      <c r="SR124" s="83"/>
      <c r="SS124" s="83"/>
      <c r="ST124" s="83"/>
    </row>
    <row r="125" spans="1:514" s="376" customFormat="1" ht="28.95" customHeight="1" x14ac:dyDescent="0.25">
      <c r="A125" s="373"/>
      <c r="B125" s="373" t="s">
        <v>340</v>
      </c>
      <c r="C125" s="866" t="s">
        <v>459</v>
      </c>
      <c r="D125" s="373" t="s">
        <v>130</v>
      </c>
      <c r="E125" s="374">
        <v>17</v>
      </c>
      <c r="F125" s="374">
        <v>17</v>
      </c>
      <c r="G125" s="640">
        <v>46</v>
      </c>
      <c r="H125" s="640">
        <v>46</v>
      </c>
      <c r="I125" s="640">
        <v>46</v>
      </c>
      <c r="J125" s="375">
        <v>4842.07</v>
      </c>
      <c r="K125" s="375">
        <v>0</v>
      </c>
      <c r="L125" s="375">
        <v>0</v>
      </c>
      <c r="M125" s="375">
        <f t="shared" si="135"/>
        <v>4842.07</v>
      </c>
      <c r="N125" s="375">
        <f t="shared" si="107"/>
        <v>222735.21999999997</v>
      </c>
      <c r="O125" s="375">
        <f t="shared" si="136"/>
        <v>0</v>
      </c>
      <c r="P125" s="375"/>
      <c r="Q125" s="375">
        <f t="shared" si="105"/>
        <v>0</v>
      </c>
      <c r="R125" s="375"/>
      <c r="S125" s="375"/>
      <c r="T125" s="375">
        <f t="shared" ref="T125" si="139">SUM(N125:Q125)</f>
        <v>222735.21999999997</v>
      </c>
      <c r="U125" s="375">
        <f t="shared" si="106"/>
        <v>222735.21999999997</v>
      </c>
      <c r="V125" s="375">
        <f t="shared" si="106"/>
        <v>222735.21999999997</v>
      </c>
      <c r="AD125" s="83"/>
      <c r="AE125" s="83"/>
      <c r="AF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83"/>
      <c r="JA125" s="83"/>
      <c r="JB125" s="83"/>
      <c r="JC125" s="83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83"/>
      <c r="JO125" s="83"/>
      <c r="JP125" s="83"/>
      <c r="JQ125" s="83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83"/>
      <c r="KC125" s="83"/>
      <c r="KD125" s="83"/>
      <c r="KE125" s="83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83"/>
      <c r="KQ125" s="83"/>
      <c r="KR125" s="83"/>
      <c r="KS125" s="83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83"/>
      <c r="LE125" s="83"/>
      <c r="LF125" s="83"/>
      <c r="LG125" s="83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83"/>
      <c r="LS125" s="83"/>
      <c r="LT125" s="83"/>
      <c r="LU125" s="83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83"/>
      <c r="MG125" s="83"/>
      <c r="MH125" s="83"/>
      <c r="MI125" s="83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83"/>
      <c r="MU125" s="83"/>
      <c r="MV125" s="83"/>
      <c r="MW125" s="83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83"/>
      <c r="NI125" s="83"/>
      <c r="NJ125" s="83"/>
      <c r="NK125" s="83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  <c r="NV125" s="83"/>
      <c r="NW125" s="83"/>
      <c r="NX125" s="83"/>
      <c r="NY125" s="83"/>
      <c r="NZ125" s="83"/>
      <c r="OA125" s="83"/>
      <c r="OB125" s="83"/>
      <c r="OC125" s="83"/>
      <c r="OD125" s="83"/>
      <c r="OE125" s="83"/>
      <c r="OF125" s="83"/>
      <c r="OG125" s="83"/>
      <c r="OH125" s="83"/>
      <c r="OI125" s="83"/>
      <c r="OJ125" s="83"/>
      <c r="OK125" s="83"/>
      <c r="OL125" s="83"/>
      <c r="OM125" s="83"/>
      <c r="ON125" s="83"/>
      <c r="OO125" s="83"/>
      <c r="OP125" s="83"/>
      <c r="OQ125" s="83"/>
      <c r="OR125" s="83"/>
      <c r="OS125" s="83"/>
      <c r="OT125" s="83"/>
      <c r="OU125" s="83"/>
      <c r="OV125" s="83"/>
      <c r="OW125" s="83"/>
      <c r="OX125" s="83"/>
      <c r="OY125" s="83"/>
      <c r="OZ125" s="83"/>
      <c r="PA125" s="83"/>
      <c r="PB125" s="83"/>
      <c r="PC125" s="83"/>
      <c r="PD125" s="83"/>
      <c r="PE125" s="83"/>
      <c r="PF125" s="83"/>
      <c r="PG125" s="83"/>
      <c r="PH125" s="83"/>
      <c r="PI125" s="83"/>
      <c r="PJ125" s="83"/>
      <c r="PK125" s="83"/>
      <c r="PL125" s="83"/>
      <c r="PM125" s="83"/>
      <c r="PN125" s="83"/>
      <c r="PO125" s="83"/>
      <c r="PP125" s="83"/>
      <c r="PQ125" s="83"/>
      <c r="PR125" s="83"/>
      <c r="PS125" s="83"/>
      <c r="PT125" s="83"/>
      <c r="PU125" s="83"/>
      <c r="PV125" s="83"/>
      <c r="PW125" s="83"/>
      <c r="PX125" s="83"/>
      <c r="PY125" s="83"/>
      <c r="PZ125" s="83"/>
      <c r="QA125" s="83"/>
      <c r="QB125" s="83"/>
      <c r="QC125" s="83"/>
      <c r="QD125" s="83"/>
      <c r="QE125" s="83"/>
      <c r="QF125" s="83"/>
      <c r="QG125" s="83"/>
      <c r="QH125" s="83"/>
      <c r="QI125" s="83"/>
      <c r="QJ125" s="83"/>
      <c r="QK125" s="83"/>
      <c r="QL125" s="83"/>
      <c r="QM125" s="83"/>
      <c r="QN125" s="83"/>
      <c r="QO125" s="83"/>
      <c r="QP125" s="83"/>
      <c r="QQ125" s="83"/>
      <c r="QR125" s="83"/>
      <c r="QS125" s="83"/>
      <c r="QT125" s="83"/>
      <c r="QU125" s="83"/>
      <c r="QV125" s="83"/>
      <c r="QW125" s="83"/>
      <c r="QX125" s="83"/>
      <c r="QY125" s="83"/>
      <c r="QZ125" s="83"/>
      <c r="RA125" s="83"/>
      <c r="RB125" s="83"/>
      <c r="RC125" s="83"/>
      <c r="RD125" s="83"/>
      <c r="RE125" s="83"/>
      <c r="RF125" s="83"/>
      <c r="RG125" s="83"/>
      <c r="RH125" s="83"/>
      <c r="RI125" s="83"/>
      <c r="RJ125" s="83"/>
      <c r="RK125" s="83"/>
      <c r="RL125" s="83"/>
      <c r="RM125" s="83"/>
      <c r="RN125" s="83"/>
      <c r="RO125" s="83"/>
      <c r="RP125" s="83"/>
      <c r="RQ125" s="83"/>
      <c r="RR125" s="83"/>
      <c r="RS125" s="83"/>
      <c r="RT125" s="83"/>
      <c r="RU125" s="83"/>
      <c r="RV125" s="83"/>
      <c r="RW125" s="83"/>
      <c r="RX125" s="83"/>
      <c r="RY125" s="83"/>
      <c r="RZ125" s="83"/>
      <c r="SA125" s="83"/>
      <c r="SB125" s="83"/>
      <c r="SC125" s="83"/>
      <c r="SD125" s="83"/>
      <c r="SE125" s="83"/>
      <c r="SF125" s="83"/>
      <c r="SG125" s="83"/>
      <c r="SH125" s="83"/>
      <c r="SI125" s="83"/>
      <c r="SJ125" s="83"/>
      <c r="SK125" s="83"/>
      <c r="SL125" s="83"/>
      <c r="SM125" s="83"/>
      <c r="SN125" s="83"/>
      <c r="SO125" s="83"/>
      <c r="SP125" s="83"/>
      <c r="SQ125" s="83"/>
      <c r="SR125" s="83"/>
      <c r="SS125" s="83"/>
      <c r="ST125" s="83"/>
    </row>
    <row r="126" spans="1:514" s="376" customFormat="1" ht="24.6" customHeight="1" x14ac:dyDescent="0.25">
      <c r="A126" s="373"/>
      <c r="B126" s="373" t="s">
        <v>340</v>
      </c>
      <c r="C126" s="867"/>
      <c r="D126" s="373" t="s">
        <v>130</v>
      </c>
      <c r="E126" s="374">
        <v>2</v>
      </c>
      <c r="F126" s="374">
        <v>2</v>
      </c>
      <c r="G126" s="640">
        <f>3+1</f>
        <v>4</v>
      </c>
      <c r="H126" s="640">
        <f t="shared" ref="H126:I126" si="140">3+1</f>
        <v>4</v>
      </c>
      <c r="I126" s="640">
        <f t="shared" si="140"/>
        <v>4</v>
      </c>
      <c r="J126" s="375">
        <v>4842.07</v>
      </c>
      <c r="K126" s="375">
        <v>0</v>
      </c>
      <c r="L126" s="375">
        <v>0</v>
      </c>
      <c r="M126" s="375">
        <f t="shared" ref="M126" si="141">J126+K126+L126</f>
        <v>4842.07</v>
      </c>
      <c r="N126" s="375">
        <f t="shared" ref="N126" si="142">G126*J126</f>
        <v>19368.28</v>
      </c>
      <c r="O126" s="375">
        <f t="shared" ref="O126" si="143">G126*K126</f>
        <v>0</v>
      </c>
      <c r="P126" s="375"/>
      <c r="Q126" s="375">
        <f t="shared" ref="Q126" si="144">G126*L126</f>
        <v>0</v>
      </c>
      <c r="R126" s="375"/>
      <c r="S126" s="375"/>
      <c r="T126" s="375">
        <f t="shared" ref="T126" si="145">SUM(N126:Q126)</f>
        <v>19368.28</v>
      </c>
      <c r="U126" s="375">
        <f t="shared" ref="U126" si="146">T126</f>
        <v>19368.28</v>
      </c>
      <c r="V126" s="375">
        <f t="shared" ref="V126" si="147">U126</f>
        <v>19368.28</v>
      </c>
      <c r="AD126" s="83"/>
      <c r="AE126" s="83"/>
      <c r="AF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  <c r="IW126" s="83"/>
      <c r="IX126" s="83"/>
      <c r="IY126" s="83"/>
      <c r="IZ126" s="83"/>
      <c r="JA126" s="83"/>
      <c r="JB126" s="83"/>
      <c r="JC126" s="83"/>
      <c r="JD126" s="83"/>
      <c r="JE126" s="83"/>
      <c r="JF126" s="83"/>
      <c r="JG126" s="83"/>
      <c r="JH126" s="83"/>
      <c r="JI126" s="83"/>
      <c r="JJ126" s="83"/>
      <c r="JK126" s="83"/>
      <c r="JL126" s="83"/>
      <c r="JM126" s="83"/>
      <c r="JN126" s="83"/>
      <c r="JO126" s="83"/>
      <c r="JP126" s="83"/>
      <c r="JQ126" s="83"/>
      <c r="JR126" s="83"/>
      <c r="JS126" s="83"/>
      <c r="JT126" s="83"/>
      <c r="JU126" s="83"/>
      <c r="JV126" s="83"/>
      <c r="JW126" s="83"/>
      <c r="JX126" s="83"/>
      <c r="JY126" s="83"/>
      <c r="JZ126" s="83"/>
      <c r="KA126" s="83"/>
      <c r="KB126" s="83"/>
      <c r="KC126" s="83"/>
      <c r="KD126" s="83"/>
      <c r="KE126" s="83"/>
      <c r="KF126" s="83"/>
      <c r="KG126" s="83"/>
      <c r="KH126" s="83"/>
      <c r="KI126" s="83"/>
      <c r="KJ126" s="83"/>
      <c r="KK126" s="83"/>
      <c r="KL126" s="83"/>
      <c r="KM126" s="83"/>
      <c r="KN126" s="83"/>
      <c r="KO126" s="83"/>
      <c r="KP126" s="83"/>
      <c r="KQ126" s="83"/>
      <c r="KR126" s="83"/>
      <c r="KS126" s="83"/>
      <c r="KT126" s="83"/>
      <c r="KU126" s="83"/>
      <c r="KV126" s="83"/>
      <c r="KW126" s="83"/>
      <c r="KX126" s="83"/>
      <c r="KY126" s="83"/>
      <c r="KZ126" s="83"/>
      <c r="LA126" s="83"/>
      <c r="LB126" s="83"/>
      <c r="LC126" s="83"/>
      <c r="LD126" s="83"/>
      <c r="LE126" s="83"/>
      <c r="LF126" s="83"/>
      <c r="LG126" s="83"/>
      <c r="LH126" s="83"/>
      <c r="LI126" s="83"/>
      <c r="LJ126" s="83"/>
      <c r="LK126" s="83"/>
      <c r="LL126" s="83"/>
      <c r="LM126" s="83"/>
      <c r="LN126" s="83"/>
      <c r="LO126" s="83"/>
      <c r="LP126" s="83"/>
      <c r="LQ126" s="83"/>
      <c r="LR126" s="83"/>
      <c r="LS126" s="83"/>
      <c r="LT126" s="83"/>
      <c r="LU126" s="83"/>
      <c r="LV126" s="83"/>
      <c r="LW126" s="83"/>
      <c r="LX126" s="83"/>
      <c r="LY126" s="83"/>
      <c r="LZ126" s="83"/>
      <c r="MA126" s="83"/>
      <c r="MB126" s="83"/>
      <c r="MC126" s="83"/>
      <c r="MD126" s="83"/>
      <c r="ME126" s="83"/>
      <c r="MF126" s="83"/>
      <c r="MG126" s="83"/>
      <c r="MH126" s="83"/>
      <c r="MI126" s="83"/>
      <c r="MJ126" s="83"/>
      <c r="MK126" s="83"/>
      <c r="ML126" s="83"/>
      <c r="MM126" s="83"/>
      <c r="MN126" s="83"/>
      <c r="MO126" s="83"/>
      <c r="MP126" s="83"/>
      <c r="MQ126" s="83"/>
      <c r="MR126" s="83"/>
      <c r="MS126" s="83"/>
      <c r="MT126" s="83"/>
      <c r="MU126" s="83"/>
      <c r="MV126" s="83"/>
      <c r="MW126" s="83"/>
      <c r="MX126" s="83"/>
      <c r="MY126" s="83"/>
      <c r="MZ126" s="83"/>
      <c r="NA126" s="83"/>
      <c r="NB126" s="83"/>
      <c r="NC126" s="83"/>
      <c r="ND126" s="83"/>
      <c r="NE126" s="83"/>
      <c r="NF126" s="83"/>
      <c r="NG126" s="83"/>
      <c r="NH126" s="83"/>
      <c r="NI126" s="83"/>
      <c r="NJ126" s="83"/>
      <c r="NK126" s="83"/>
      <c r="NL126" s="83"/>
      <c r="NM126" s="83"/>
      <c r="NN126" s="83"/>
      <c r="NO126" s="83"/>
      <c r="NP126" s="83"/>
      <c r="NQ126" s="83"/>
      <c r="NR126" s="83"/>
      <c r="NS126" s="83"/>
      <c r="NT126" s="83"/>
      <c r="NU126" s="83"/>
      <c r="NV126" s="83"/>
      <c r="NW126" s="83"/>
      <c r="NX126" s="83"/>
      <c r="NY126" s="83"/>
      <c r="NZ126" s="83"/>
      <c r="OA126" s="83"/>
      <c r="OB126" s="83"/>
      <c r="OC126" s="83"/>
      <c r="OD126" s="83"/>
      <c r="OE126" s="83"/>
      <c r="OF126" s="83"/>
      <c r="OG126" s="83"/>
      <c r="OH126" s="83"/>
      <c r="OI126" s="83"/>
      <c r="OJ126" s="83"/>
      <c r="OK126" s="83"/>
      <c r="OL126" s="83"/>
      <c r="OM126" s="83"/>
      <c r="ON126" s="83"/>
      <c r="OO126" s="83"/>
      <c r="OP126" s="83"/>
      <c r="OQ126" s="83"/>
      <c r="OR126" s="83"/>
      <c r="OS126" s="83"/>
      <c r="OT126" s="83"/>
      <c r="OU126" s="83"/>
      <c r="OV126" s="83"/>
      <c r="OW126" s="83"/>
      <c r="OX126" s="83"/>
      <c r="OY126" s="83"/>
      <c r="OZ126" s="83"/>
      <c r="PA126" s="83"/>
      <c r="PB126" s="83"/>
      <c r="PC126" s="83"/>
      <c r="PD126" s="83"/>
      <c r="PE126" s="83"/>
      <c r="PF126" s="83"/>
      <c r="PG126" s="83"/>
      <c r="PH126" s="83"/>
      <c r="PI126" s="83"/>
      <c r="PJ126" s="83"/>
      <c r="PK126" s="83"/>
      <c r="PL126" s="83"/>
      <c r="PM126" s="83"/>
      <c r="PN126" s="83"/>
      <c r="PO126" s="83"/>
      <c r="PP126" s="83"/>
      <c r="PQ126" s="83"/>
      <c r="PR126" s="83"/>
      <c r="PS126" s="83"/>
      <c r="PT126" s="83"/>
      <c r="PU126" s="83"/>
      <c r="PV126" s="83"/>
      <c r="PW126" s="83"/>
      <c r="PX126" s="83"/>
      <c r="PY126" s="83"/>
      <c r="PZ126" s="83"/>
      <c r="QA126" s="83"/>
      <c r="QB126" s="83"/>
      <c r="QC126" s="83"/>
      <c r="QD126" s="83"/>
      <c r="QE126" s="83"/>
      <c r="QF126" s="83"/>
      <c r="QG126" s="83"/>
      <c r="QH126" s="83"/>
      <c r="QI126" s="83"/>
      <c r="QJ126" s="83"/>
      <c r="QK126" s="83"/>
      <c r="QL126" s="83"/>
      <c r="QM126" s="83"/>
      <c r="QN126" s="83"/>
      <c r="QO126" s="83"/>
      <c r="QP126" s="83"/>
      <c r="QQ126" s="83"/>
      <c r="QR126" s="83"/>
      <c r="QS126" s="83"/>
      <c r="QT126" s="83"/>
      <c r="QU126" s="83"/>
      <c r="QV126" s="83"/>
      <c r="QW126" s="83"/>
      <c r="QX126" s="83"/>
      <c r="QY126" s="83"/>
      <c r="QZ126" s="83"/>
      <c r="RA126" s="83"/>
      <c r="RB126" s="83"/>
      <c r="RC126" s="83"/>
      <c r="RD126" s="83"/>
      <c r="RE126" s="83"/>
      <c r="RF126" s="83"/>
      <c r="RG126" s="83"/>
      <c r="RH126" s="83"/>
      <c r="RI126" s="83"/>
      <c r="RJ126" s="83"/>
      <c r="RK126" s="83"/>
      <c r="RL126" s="83"/>
      <c r="RM126" s="83"/>
      <c r="RN126" s="83"/>
      <c r="RO126" s="83"/>
      <c r="RP126" s="83"/>
      <c r="RQ126" s="83"/>
      <c r="RR126" s="83"/>
      <c r="RS126" s="83"/>
      <c r="RT126" s="83"/>
      <c r="RU126" s="83"/>
      <c r="RV126" s="83"/>
      <c r="RW126" s="83"/>
      <c r="RX126" s="83"/>
      <c r="RY126" s="83"/>
      <c r="RZ126" s="83"/>
      <c r="SA126" s="83"/>
      <c r="SB126" s="83"/>
      <c r="SC126" s="83"/>
      <c r="SD126" s="83"/>
      <c r="SE126" s="83"/>
      <c r="SF126" s="83"/>
      <c r="SG126" s="83"/>
      <c r="SH126" s="83"/>
      <c r="SI126" s="83"/>
      <c r="SJ126" s="83"/>
      <c r="SK126" s="83"/>
      <c r="SL126" s="83"/>
      <c r="SM126" s="83"/>
      <c r="SN126" s="83"/>
      <c r="SO126" s="83"/>
      <c r="SP126" s="83"/>
      <c r="SQ126" s="83"/>
      <c r="SR126" s="83"/>
      <c r="SS126" s="83"/>
      <c r="ST126" s="83"/>
    </row>
    <row r="127" spans="1:514" s="376" customFormat="1" ht="25.2" customHeight="1" x14ac:dyDescent="0.25">
      <c r="A127" s="373"/>
      <c r="B127" s="373" t="s">
        <v>334</v>
      </c>
      <c r="C127" s="867"/>
      <c r="D127" s="373" t="s">
        <v>130</v>
      </c>
      <c r="E127" s="374">
        <v>28</v>
      </c>
      <c r="F127" s="374">
        <f>27+14</f>
        <v>41</v>
      </c>
      <c r="G127" s="640">
        <f>24-8</f>
        <v>16</v>
      </c>
      <c r="H127" s="374">
        <v>24</v>
      </c>
      <c r="I127" s="374">
        <v>24</v>
      </c>
      <c r="J127" s="375">
        <v>4842.07</v>
      </c>
      <c r="K127" s="375">
        <v>0</v>
      </c>
      <c r="L127" s="375">
        <v>0</v>
      </c>
      <c r="M127" s="375">
        <f t="shared" si="135"/>
        <v>4842.07</v>
      </c>
      <c r="N127" s="375">
        <f>G127*J127</f>
        <v>77473.119999999995</v>
      </c>
      <c r="O127" s="375">
        <f t="shared" si="136"/>
        <v>0</v>
      </c>
      <c r="P127" s="375"/>
      <c r="Q127" s="375">
        <f t="shared" si="105"/>
        <v>0</v>
      </c>
      <c r="R127" s="375"/>
      <c r="S127" s="375"/>
      <c r="T127" s="375">
        <f t="shared" ref="T127" si="148">SUM(N127:Q127)</f>
        <v>77473.119999999995</v>
      </c>
      <c r="U127" s="375">
        <f t="shared" si="106"/>
        <v>77473.119999999995</v>
      </c>
      <c r="V127" s="375">
        <f t="shared" si="106"/>
        <v>77473.119999999995</v>
      </c>
      <c r="AD127" s="83"/>
      <c r="AE127" s="83"/>
      <c r="AF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  <c r="IY127" s="83"/>
      <c r="IZ127" s="83"/>
      <c r="JA127" s="83"/>
      <c r="JB127" s="83"/>
      <c r="JC127" s="83"/>
      <c r="JD127" s="83"/>
      <c r="JE127" s="83"/>
      <c r="JF127" s="83"/>
      <c r="JG127" s="83"/>
      <c r="JH127" s="83"/>
      <c r="JI127" s="83"/>
      <c r="JJ127" s="83"/>
      <c r="JK127" s="83"/>
      <c r="JL127" s="83"/>
      <c r="JM127" s="83"/>
      <c r="JN127" s="83"/>
      <c r="JO127" s="83"/>
      <c r="JP127" s="83"/>
      <c r="JQ127" s="83"/>
      <c r="JR127" s="83"/>
      <c r="JS127" s="83"/>
      <c r="JT127" s="83"/>
      <c r="JU127" s="83"/>
      <c r="JV127" s="83"/>
      <c r="JW127" s="83"/>
      <c r="JX127" s="83"/>
      <c r="JY127" s="83"/>
      <c r="JZ127" s="83"/>
      <c r="KA127" s="83"/>
      <c r="KB127" s="83"/>
      <c r="KC127" s="83"/>
      <c r="KD127" s="83"/>
      <c r="KE127" s="83"/>
      <c r="KF127" s="83"/>
      <c r="KG127" s="83"/>
      <c r="KH127" s="83"/>
      <c r="KI127" s="83"/>
      <c r="KJ127" s="83"/>
      <c r="KK127" s="83"/>
      <c r="KL127" s="83"/>
      <c r="KM127" s="83"/>
      <c r="KN127" s="83"/>
      <c r="KO127" s="83"/>
      <c r="KP127" s="83"/>
      <c r="KQ127" s="83"/>
      <c r="KR127" s="83"/>
      <c r="KS127" s="83"/>
      <c r="KT127" s="83"/>
      <c r="KU127" s="83"/>
      <c r="KV127" s="83"/>
      <c r="KW127" s="83"/>
      <c r="KX127" s="83"/>
      <c r="KY127" s="83"/>
      <c r="KZ127" s="83"/>
      <c r="LA127" s="83"/>
      <c r="LB127" s="83"/>
      <c r="LC127" s="83"/>
      <c r="LD127" s="83"/>
      <c r="LE127" s="83"/>
      <c r="LF127" s="83"/>
      <c r="LG127" s="83"/>
      <c r="LH127" s="83"/>
      <c r="LI127" s="83"/>
      <c r="LJ127" s="83"/>
      <c r="LK127" s="83"/>
      <c r="LL127" s="83"/>
      <c r="LM127" s="83"/>
      <c r="LN127" s="83"/>
      <c r="LO127" s="83"/>
      <c r="LP127" s="83"/>
      <c r="LQ127" s="83"/>
      <c r="LR127" s="83"/>
      <c r="LS127" s="83"/>
      <c r="LT127" s="83"/>
      <c r="LU127" s="83"/>
      <c r="LV127" s="83"/>
      <c r="LW127" s="83"/>
      <c r="LX127" s="83"/>
      <c r="LY127" s="83"/>
      <c r="LZ127" s="83"/>
      <c r="MA127" s="83"/>
      <c r="MB127" s="83"/>
      <c r="MC127" s="83"/>
      <c r="MD127" s="83"/>
      <c r="ME127" s="83"/>
      <c r="MF127" s="83"/>
      <c r="MG127" s="83"/>
      <c r="MH127" s="83"/>
      <c r="MI127" s="83"/>
      <c r="MJ127" s="83"/>
      <c r="MK127" s="83"/>
      <c r="ML127" s="83"/>
      <c r="MM127" s="83"/>
      <c r="MN127" s="83"/>
      <c r="MO127" s="83"/>
      <c r="MP127" s="83"/>
      <c r="MQ127" s="83"/>
      <c r="MR127" s="83"/>
      <c r="MS127" s="83"/>
      <c r="MT127" s="83"/>
      <c r="MU127" s="83"/>
      <c r="MV127" s="83"/>
      <c r="MW127" s="83"/>
      <c r="MX127" s="83"/>
      <c r="MY127" s="83"/>
      <c r="MZ127" s="83"/>
      <c r="NA127" s="83"/>
      <c r="NB127" s="83"/>
      <c r="NC127" s="83"/>
      <c r="ND127" s="83"/>
      <c r="NE127" s="83"/>
      <c r="NF127" s="83"/>
      <c r="NG127" s="83"/>
      <c r="NH127" s="83"/>
      <c r="NI127" s="83"/>
      <c r="NJ127" s="83"/>
      <c r="NK127" s="83"/>
      <c r="NL127" s="83"/>
      <c r="NM127" s="83"/>
      <c r="NN127" s="83"/>
      <c r="NO127" s="83"/>
      <c r="NP127" s="83"/>
      <c r="NQ127" s="83"/>
      <c r="NR127" s="83"/>
      <c r="NS127" s="83"/>
      <c r="NT127" s="83"/>
      <c r="NU127" s="83"/>
      <c r="NV127" s="83"/>
      <c r="NW127" s="83"/>
      <c r="NX127" s="83"/>
      <c r="NY127" s="83"/>
      <c r="NZ127" s="83"/>
      <c r="OA127" s="83"/>
      <c r="OB127" s="83"/>
      <c r="OC127" s="83"/>
      <c r="OD127" s="83"/>
      <c r="OE127" s="83"/>
      <c r="OF127" s="83"/>
      <c r="OG127" s="83"/>
      <c r="OH127" s="83"/>
      <c r="OI127" s="83"/>
      <c r="OJ127" s="83"/>
      <c r="OK127" s="83"/>
      <c r="OL127" s="83"/>
      <c r="OM127" s="83"/>
      <c r="ON127" s="83"/>
      <c r="OO127" s="83"/>
      <c r="OP127" s="83"/>
      <c r="OQ127" s="83"/>
      <c r="OR127" s="83"/>
      <c r="OS127" s="83"/>
      <c r="OT127" s="83"/>
      <c r="OU127" s="83"/>
      <c r="OV127" s="83"/>
      <c r="OW127" s="83"/>
      <c r="OX127" s="83"/>
      <c r="OY127" s="83"/>
      <c r="OZ127" s="83"/>
      <c r="PA127" s="83"/>
      <c r="PB127" s="83"/>
      <c r="PC127" s="83"/>
      <c r="PD127" s="83"/>
      <c r="PE127" s="83"/>
      <c r="PF127" s="83"/>
      <c r="PG127" s="83"/>
      <c r="PH127" s="83"/>
      <c r="PI127" s="83"/>
      <c r="PJ127" s="83"/>
      <c r="PK127" s="83"/>
      <c r="PL127" s="83"/>
      <c r="PM127" s="83"/>
      <c r="PN127" s="83"/>
      <c r="PO127" s="83"/>
      <c r="PP127" s="83"/>
      <c r="PQ127" s="83"/>
      <c r="PR127" s="83"/>
      <c r="PS127" s="83"/>
      <c r="PT127" s="83"/>
      <c r="PU127" s="83"/>
      <c r="PV127" s="83"/>
      <c r="PW127" s="83"/>
      <c r="PX127" s="83"/>
      <c r="PY127" s="83"/>
      <c r="PZ127" s="83"/>
      <c r="QA127" s="83"/>
      <c r="QB127" s="83"/>
      <c r="QC127" s="83"/>
      <c r="QD127" s="83"/>
      <c r="QE127" s="83"/>
      <c r="QF127" s="83"/>
      <c r="QG127" s="83"/>
      <c r="QH127" s="83"/>
      <c r="QI127" s="83"/>
      <c r="QJ127" s="83"/>
      <c r="QK127" s="83"/>
      <c r="QL127" s="83"/>
      <c r="QM127" s="83"/>
      <c r="QN127" s="83"/>
      <c r="QO127" s="83"/>
      <c r="QP127" s="83"/>
      <c r="QQ127" s="83"/>
      <c r="QR127" s="83"/>
      <c r="QS127" s="83"/>
      <c r="QT127" s="83"/>
      <c r="QU127" s="83"/>
      <c r="QV127" s="83"/>
      <c r="QW127" s="83"/>
      <c r="QX127" s="83"/>
      <c r="QY127" s="83"/>
      <c r="QZ127" s="83"/>
      <c r="RA127" s="83"/>
      <c r="RB127" s="83"/>
      <c r="RC127" s="83"/>
      <c r="RD127" s="83"/>
      <c r="RE127" s="83"/>
      <c r="RF127" s="83"/>
      <c r="RG127" s="83"/>
      <c r="RH127" s="83"/>
      <c r="RI127" s="83"/>
      <c r="RJ127" s="83"/>
      <c r="RK127" s="83"/>
      <c r="RL127" s="83"/>
      <c r="RM127" s="83"/>
      <c r="RN127" s="83"/>
      <c r="RO127" s="83"/>
      <c r="RP127" s="83"/>
      <c r="RQ127" s="83"/>
      <c r="RR127" s="83"/>
      <c r="RS127" s="83"/>
      <c r="RT127" s="83"/>
      <c r="RU127" s="83"/>
      <c r="RV127" s="83"/>
      <c r="RW127" s="83"/>
      <c r="RX127" s="83"/>
      <c r="RY127" s="83"/>
      <c r="RZ127" s="83"/>
      <c r="SA127" s="83"/>
      <c r="SB127" s="83"/>
      <c r="SC127" s="83"/>
      <c r="SD127" s="83"/>
      <c r="SE127" s="83"/>
      <c r="SF127" s="83"/>
      <c r="SG127" s="83"/>
      <c r="SH127" s="83"/>
      <c r="SI127" s="83"/>
      <c r="SJ127" s="83"/>
      <c r="SK127" s="83"/>
      <c r="SL127" s="83"/>
      <c r="SM127" s="83"/>
      <c r="SN127" s="83"/>
      <c r="SO127" s="83"/>
      <c r="SP127" s="83"/>
      <c r="SQ127" s="83"/>
      <c r="SR127" s="83"/>
      <c r="SS127" s="83"/>
      <c r="ST127" s="83"/>
    </row>
    <row r="128" spans="1:514" s="376" customFormat="1" ht="27.6" customHeight="1" x14ac:dyDescent="0.25">
      <c r="A128" s="377"/>
      <c r="B128" s="373" t="s">
        <v>460</v>
      </c>
      <c r="C128" s="868"/>
      <c r="D128" s="373" t="s">
        <v>130</v>
      </c>
      <c r="E128" s="374">
        <v>17</v>
      </c>
      <c r="F128" s="374">
        <v>14</v>
      </c>
      <c r="G128" s="640">
        <f>16-1</f>
        <v>15</v>
      </c>
      <c r="H128" s="374">
        <v>16</v>
      </c>
      <c r="I128" s="374">
        <v>16</v>
      </c>
      <c r="J128" s="375">
        <v>7263.1</v>
      </c>
      <c r="K128" s="375">
        <v>0</v>
      </c>
      <c r="L128" s="375">
        <v>0</v>
      </c>
      <c r="M128" s="375">
        <f t="shared" si="102"/>
        <v>7263.1</v>
      </c>
      <c r="N128" s="375">
        <f>G128*J128</f>
        <v>108946.5</v>
      </c>
      <c r="O128" s="375">
        <f t="shared" si="136"/>
        <v>0</v>
      </c>
      <c r="P128" s="375"/>
      <c r="Q128" s="375">
        <f t="shared" si="105"/>
        <v>0</v>
      </c>
      <c r="R128" s="375"/>
      <c r="S128" s="375"/>
      <c r="T128" s="375">
        <f t="shared" si="109"/>
        <v>108946.5</v>
      </c>
      <c r="U128" s="375">
        <f t="shared" si="106"/>
        <v>108946.5</v>
      </c>
      <c r="V128" s="375">
        <f t="shared" si="106"/>
        <v>108946.5</v>
      </c>
      <c r="AD128" s="83"/>
      <c r="AE128" s="83"/>
      <c r="AF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  <c r="IW128" s="83"/>
      <c r="IX128" s="83"/>
      <c r="IY128" s="83"/>
      <c r="IZ128" s="83"/>
      <c r="JA128" s="83"/>
      <c r="JB128" s="83"/>
      <c r="JC128" s="83"/>
      <c r="JD128" s="83"/>
      <c r="JE128" s="83"/>
      <c r="JF128" s="83"/>
      <c r="JG128" s="83"/>
      <c r="JH128" s="83"/>
      <c r="JI128" s="83"/>
      <c r="JJ128" s="83"/>
      <c r="JK128" s="83"/>
      <c r="JL128" s="83"/>
      <c r="JM128" s="83"/>
      <c r="JN128" s="83"/>
      <c r="JO128" s="83"/>
      <c r="JP128" s="83"/>
      <c r="JQ128" s="83"/>
      <c r="JR128" s="83"/>
      <c r="JS128" s="83"/>
      <c r="JT128" s="83"/>
      <c r="JU128" s="83"/>
      <c r="JV128" s="83"/>
      <c r="JW128" s="83"/>
      <c r="JX128" s="83"/>
      <c r="JY128" s="83"/>
      <c r="JZ128" s="83"/>
      <c r="KA128" s="83"/>
      <c r="KB128" s="83"/>
      <c r="KC128" s="83"/>
      <c r="KD128" s="83"/>
      <c r="KE128" s="83"/>
      <c r="KF128" s="83"/>
      <c r="KG128" s="83"/>
      <c r="KH128" s="83"/>
      <c r="KI128" s="83"/>
      <c r="KJ128" s="83"/>
      <c r="KK128" s="83"/>
      <c r="KL128" s="83"/>
      <c r="KM128" s="83"/>
      <c r="KN128" s="83"/>
      <c r="KO128" s="83"/>
      <c r="KP128" s="83"/>
      <c r="KQ128" s="83"/>
      <c r="KR128" s="83"/>
      <c r="KS128" s="83"/>
      <c r="KT128" s="83"/>
      <c r="KU128" s="83"/>
      <c r="KV128" s="83"/>
      <c r="KW128" s="83"/>
      <c r="KX128" s="83"/>
      <c r="KY128" s="83"/>
      <c r="KZ128" s="83"/>
      <c r="LA128" s="83"/>
      <c r="LB128" s="83"/>
      <c r="LC128" s="83"/>
      <c r="LD128" s="83"/>
      <c r="LE128" s="83"/>
      <c r="LF128" s="83"/>
      <c r="LG128" s="83"/>
      <c r="LH128" s="83"/>
      <c r="LI128" s="83"/>
      <c r="LJ128" s="83"/>
      <c r="LK128" s="83"/>
      <c r="LL128" s="83"/>
      <c r="LM128" s="83"/>
      <c r="LN128" s="83"/>
      <c r="LO128" s="83"/>
      <c r="LP128" s="83"/>
      <c r="LQ128" s="83"/>
      <c r="LR128" s="83"/>
      <c r="LS128" s="83"/>
      <c r="LT128" s="83"/>
      <c r="LU128" s="83"/>
      <c r="LV128" s="83"/>
      <c r="LW128" s="83"/>
      <c r="LX128" s="83"/>
      <c r="LY128" s="83"/>
      <c r="LZ128" s="83"/>
      <c r="MA128" s="83"/>
      <c r="MB128" s="83"/>
      <c r="MC128" s="83"/>
      <c r="MD128" s="83"/>
      <c r="ME128" s="83"/>
      <c r="MF128" s="83"/>
      <c r="MG128" s="83"/>
      <c r="MH128" s="83"/>
      <c r="MI128" s="83"/>
      <c r="MJ128" s="83"/>
      <c r="MK128" s="83"/>
      <c r="ML128" s="83"/>
      <c r="MM128" s="83"/>
      <c r="MN128" s="83"/>
      <c r="MO128" s="83"/>
      <c r="MP128" s="83"/>
      <c r="MQ128" s="83"/>
      <c r="MR128" s="83"/>
      <c r="MS128" s="83"/>
      <c r="MT128" s="83"/>
      <c r="MU128" s="83"/>
      <c r="MV128" s="83"/>
      <c r="MW128" s="83"/>
      <c r="MX128" s="83"/>
      <c r="MY128" s="83"/>
      <c r="MZ128" s="83"/>
      <c r="NA128" s="83"/>
      <c r="NB128" s="83"/>
      <c r="NC128" s="83"/>
      <c r="ND128" s="83"/>
      <c r="NE128" s="83"/>
      <c r="NF128" s="83"/>
      <c r="NG128" s="83"/>
      <c r="NH128" s="83"/>
      <c r="NI128" s="83"/>
      <c r="NJ128" s="83"/>
      <c r="NK128" s="83"/>
      <c r="NL128" s="83"/>
      <c r="NM128" s="83"/>
      <c r="NN128" s="83"/>
      <c r="NO128" s="83"/>
      <c r="NP128" s="83"/>
      <c r="NQ128" s="83"/>
      <c r="NR128" s="83"/>
      <c r="NS128" s="83"/>
      <c r="NT128" s="83"/>
      <c r="NU128" s="83"/>
      <c r="NV128" s="83"/>
      <c r="NW128" s="83"/>
      <c r="NX128" s="83"/>
      <c r="NY128" s="83"/>
      <c r="NZ128" s="83"/>
      <c r="OA128" s="83"/>
      <c r="OB128" s="83"/>
      <c r="OC128" s="83"/>
      <c r="OD128" s="83"/>
      <c r="OE128" s="83"/>
      <c r="OF128" s="83"/>
      <c r="OG128" s="83"/>
      <c r="OH128" s="83"/>
      <c r="OI128" s="83"/>
      <c r="OJ128" s="83"/>
      <c r="OK128" s="83"/>
      <c r="OL128" s="83"/>
      <c r="OM128" s="83"/>
      <c r="ON128" s="83"/>
      <c r="OO128" s="83"/>
      <c r="OP128" s="83"/>
      <c r="OQ128" s="83"/>
      <c r="OR128" s="83"/>
      <c r="OS128" s="83"/>
      <c r="OT128" s="83"/>
      <c r="OU128" s="83"/>
      <c r="OV128" s="83"/>
      <c r="OW128" s="83"/>
      <c r="OX128" s="83"/>
      <c r="OY128" s="83"/>
      <c r="OZ128" s="83"/>
      <c r="PA128" s="83"/>
      <c r="PB128" s="83"/>
      <c r="PC128" s="83"/>
      <c r="PD128" s="83"/>
      <c r="PE128" s="83"/>
      <c r="PF128" s="83"/>
      <c r="PG128" s="83"/>
      <c r="PH128" s="83"/>
      <c r="PI128" s="83"/>
      <c r="PJ128" s="83"/>
      <c r="PK128" s="83"/>
      <c r="PL128" s="83"/>
      <c r="PM128" s="83"/>
      <c r="PN128" s="83"/>
      <c r="PO128" s="83"/>
      <c r="PP128" s="83"/>
      <c r="PQ128" s="83"/>
      <c r="PR128" s="83"/>
      <c r="PS128" s="83"/>
      <c r="PT128" s="83"/>
      <c r="PU128" s="83"/>
      <c r="PV128" s="83"/>
      <c r="PW128" s="83"/>
      <c r="PX128" s="83"/>
      <c r="PY128" s="83"/>
      <c r="PZ128" s="83"/>
      <c r="QA128" s="83"/>
      <c r="QB128" s="83"/>
      <c r="QC128" s="83"/>
      <c r="QD128" s="83"/>
      <c r="QE128" s="83"/>
      <c r="QF128" s="83"/>
      <c r="QG128" s="83"/>
      <c r="QH128" s="83"/>
      <c r="QI128" s="83"/>
      <c r="QJ128" s="83"/>
      <c r="QK128" s="83"/>
      <c r="QL128" s="83"/>
      <c r="QM128" s="83"/>
      <c r="QN128" s="83"/>
      <c r="QO128" s="83"/>
      <c r="QP128" s="83"/>
      <c r="QQ128" s="83"/>
      <c r="QR128" s="83"/>
      <c r="QS128" s="83"/>
      <c r="QT128" s="83"/>
      <c r="QU128" s="83"/>
      <c r="QV128" s="83"/>
      <c r="QW128" s="83"/>
      <c r="QX128" s="83"/>
      <c r="QY128" s="83"/>
      <c r="QZ128" s="83"/>
      <c r="RA128" s="83"/>
      <c r="RB128" s="83"/>
      <c r="RC128" s="83"/>
      <c r="RD128" s="83"/>
      <c r="RE128" s="83"/>
      <c r="RF128" s="83"/>
      <c r="RG128" s="83"/>
      <c r="RH128" s="83"/>
      <c r="RI128" s="83"/>
      <c r="RJ128" s="83"/>
      <c r="RK128" s="83"/>
      <c r="RL128" s="83"/>
      <c r="RM128" s="83"/>
      <c r="RN128" s="83"/>
      <c r="RO128" s="83"/>
      <c r="RP128" s="83"/>
      <c r="RQ128" s="83"/>
      <c r="RR128" s="83"/>
      <c r="RS128" s="83"/>
      <c r="RT128" s="83"/>
      <c r="RU128" s="83"/>
      <c r="RV128" s="83"/>
      <c r="RW128" s="83"/>
      <c r="RX128" s="83"/>
      <c r="RY128" s="83"/>
      <c r="RZ128" s="83"/>
      <c r="SA128" s="83"/>
      <c r="SB128" s="83"/>
      <c r="SC128" s="83"/>
      <c r="SD128" s="83"/>
      <c r="SE128" s="83"/>
      <c r="SF128" s="83"/>
      <c r="SG128" s="83"/>
      <c r="SH128" s="83"/>
      <c r="SI128" s="83"/>
      <c r="SJ128" s="83"/>
      <c r="SK128" s="83"/>
      <c r="SL128" s="83"/>
      <c r="SM128" s="83"/>
      <c r="SN128" s="83"/>
      <c r="SO128" s="83"/>
      <c r="SP128" s="83"/>
      <c r="SQ128" s="83"/>
      <c r="SR128" s="83"/>
      <c r="SS128" s="83"/>
      <c r="ST128" s="83"/>
    </row>
    <row r="129" spans="1:29" ht="62.4" customHeight="1" x14ac:dyDescent="0.25">
      <c r="A129" s="92" t="s">
        <v>133</v>
      </c>
      <c r="B129" s="97" t="s">
        <v>134</v>
      </c>
      <c r="C129" s="97" t="s">
        <v>54</v>
      </c>
      <c r="D129" s="630" t="s">
        <v>130</v>
      </c>
      <c r="E129" s="104">
        <f>E101+E102+E107+E112+E113+E116+E103+E106+E108+E110+E111+E115+E114</f>
        <v>115</v>
      </c>
      <c r="F129" s="104">
        <f>F101+F102+F107+F112+F113+F116+F103+F106+F108+F110+F111+F115+F114+F105+F104+F109</f>
        <v>101</v>
      </c>
      <c r="G129" s="104">
        <f>G101+G102+G107+G112+G113+G116+G103+G106+G108+G110+G111+G115+G114+G109+G104+G105</f>
        <v>101</v>
      </c>
      <c r="H129" s="104">
        <f t="shared" ref="H129:I129" si="149">H101+H102+H107+H112+H113+H116+H103+H106+H108+H110+H111+H115+H114+H109+H104+H105</f>
        <v>110</v>
      </c>
      <c r="I129" s="104">
        <f t="shared" si="149"/>
        <v>110</v>
      </c>
      <c r="J129" s="99">
        <v>0</v>
      </c>
      <c r="K129" s="98">
        <v>0</v>
      </c>
      <c r="L129" s="101">
        <f>61511.06</f>
        <v>61511.06</v>
      </c>
      <c r="M129" s="98">
        <f t="shared" si="102"/>
        <v>61511.06</v>
      </c>
      <c r="N129" s="98">
        <v>0</v>
      </c>
      <c r="O129" s="98">
        <f>G129*K129</f>
        <v>0</v>
      </c>
      <c r="P129" s="109"/>
      <c r="Q129" s="107">
        <f>G129*L129</f>
        <v>6212617.0599999996</v>
      </c>
      <c r="R129" s="99"/>
      <c r="S129" s="99"/>
      <c r="T129" s="102">
        <f>Q129</f>
        <v>6212617.0599999996</v>
      </c>
      <c r="U129" s="98">
        <f t="shared" si="106"/>
        <v>6212617.0599999996</v>
      </c>
      <c r="V129" s="98">
        <f t="shared" si="106"/>
        <v>6212617.0599999996</v>
      </c>
    </row>
    <row r="130" spans="1:29" ht="28.2" customHeight="1" x14ac:dyDescent="0.25">
      <c r="A130" s="581" t="s">
        <v>628</v>
      </c>
      <c r="B130" s="97" t="s">
        <v>134</v>
      </c>
      <c r="C130" s="97" t="s">
        <v>135</v>
      </c>
      <c r="D130" s="630"/>
      <c r="E130" s="109"/>
      <c r="F130" s="104"/>
      <c r="G130" s="113">
        <f>G129</f>
        <v>101</v>
      </c>
      <c r="H130" s="113">
        <f t="shared" ref="H130" si="150">H129</f>
        <v>110</v>
      </c>
      <c r="I130" s="113">
        <f>I129</f>
        <v>110</v>
      </c>
      <c r="J130" s="99"/>
      <c r="K130" s="98"/>
      <c r="L130" s="101">
        <v>20437.68</v>
      </c>
      <c r="M130" s="98">
        <f t="shared" si="102"/>
        <v>20437.68</v>
      </c>
      <c r="N130" s="98">
        <v>0</v>
      </c>
      <c r="O130" s="98"/>
      <c r="P130" s="109"/>
      <c r="Q130" s="99"/>
      <c r="R130" s="99"/>
      <c r="S130" s="107">
        <f>G130*L130</f>
        <v>2064205.68</v>
      </c>
      <c r="T130" s="102">
        <f>S130</f>
        <v>2064205.68</v>
      </c>
      <c r="U130" s="98">
        <f>T130</f>
        <v>2064205.68</v>
      </c>
      <c r="V130" s="98">
        <f>U130</f>
        <v>2064205.68</v>
      </c>
    </row>
    <row r="131" spans="1:29" ht="28.2" customHeight="1" x14ac:dyDescent="0.25">
      <c r="A131" s="883" t="s">
        <v>518</v>
      </c>
      <c r="B131" s="881" t="s">
        <v>519</v>
      </c>
      <c r="C131" s="662"/>
      <c r="D131" s="737" t="s">
        <v>24</v>
      </c>
      <c r="E131" s="738"/>
      <c r="F131" s="738">
        <v>30</v>
      </c>
      <c r="G131" s="739">
        <v>30</v>
      </c>
      <c r="H131" s="747">
        <f>30-30</f>
        <v>0</v>
      </c>
      <c r="I131" s="747">
        <f>30-30</f>
        <v>0</v>
      </c>
      <c r="J131" s="743"/>
      <c r="K131" s="741"/>
      <c r="L131" s="742"/>
      <c r="M131" s="741"/>
      <c r="N131" s="741">
        <v>0</v>
      </c>
      <c r="O131" s="741"/>
      <c r="P131" s="738"/>
      <c r="Q131" s="741"/>
      <c r="R131" s="741"/>
      <c r="S131" s="743"/>
      <c r="T131" s="743">
        <f>SUM(N131:Q131)</f>
        <v>0</v>
      </c>
      <c r="U131" s="743"/>
      <c r="V131" s="743"/>
    </row>
    <row r="132" spans="1:29" ht="28.2" customHeight="1" x14ac:dyDescent="0.25">
      <c r="A132" s="884"/>
      <c r="B132" s="882"/>
      <c r="C132" s="662"/>
      <c r="D132" s="744" t="s">
        <v>235</v>
      </c>
      <c r="E132" s="738">
        <v>0</v>
      </c>
      <c r="F132" s="738">
        <f>36*F131</f>
        <v>1080</v>
      </c>
      <c r="G132" s="739">
        <f>14*1*G131</f>
        <v>420</v>
      </c>
      <c r="H132" s="747">
        <f>1080-1080</f>
        <v>0</v>
      </c>
      <c r="I132" s="747">
        <f>1080-1080</f>
        <v>0</v>
      </c>
      <c r="J132" s="740">
        <v>341.23</v>
      </c>
      <c r="K132" s="741"/>
      <c r="L132" s="742"/>
      <c r="M132" s="741">
        <f>J132+K132+L132</f>
        <v>341.23</v>
      </c>
      <c r="N132" s="740">
        <f>G132*J132-263.85</f>
        <v>143052.75</v>
      </c>
      <c r="O132" s="741"/>
      <c r="P132" s="738"/>
      <c r="Q132" s="741"/>
      <c r="R132" s="741"/>
      <c r="S132" s="743"/>
      <c r="T132" s="740">
        <f>SUM(N132:Q132)</f>
        <v>143052.75</v>
      </c>
      <c r="U132" s="743">
        <f>H132*J132</f>
        <v>0</v>
      </c>
      <c r="V132" s="743">
        <f>I132*J132</f>
        <v>0</v>
      </c>
    </row>
    <row r="133" spans="1:29" ht="18" customHeight="1" x14ac:dyDescent="0.25">
      <c r="A133" s="681"/>
      <c r="B133" s="677"/>
      <c r="C133" s="420" t="s">
        <v>38</v>
      </c>
      <c r="D133" s="630"/>
      <c r="E133" s="109"/>
      <c r="F133" s="104">
        <v>30</v>
      </c>
      <c r="G133" s="108">
        <f>G131</f>
        <v>30</v>
      </c>
      <c r="H133" s="675">
        <f>H131</f>
        <v>0</v>
      </c>
      <c r="I133" s="675">
        <f>I131</f>
        <v>0</v>
      </c>
      <c r="J133" s="105" t="s">
        <v>26</v>
      </c>
      <c r="K133" s="98" t="s">
        <v>26</v>
      </c>
      <c r="L133" s="101" t="s">
        <v>26</v>
      </c>
      <c r="M133" s="99"/>
      <c r="N133" s="105"/>
      <c r="O133" s="99"/>
      <c r="P133" s="104"/>
      <c r="Q133" s="99"/>
      <c r="R133" s="99"/>
      <c r="S133" s="105"/>
      <c r="T133" s="107"/>
      <c r="U133" s="105"/>
      <c r="V133" s="105"/>
    </row>
    <row r="134" spans="1:29" ht="21.6" customHeight="1" x14ac:dyDescent="0.25">
      <c r="A134" s="96" t="s">
        <v>148</v>
      </c>
      <c r="B134" s="96"/>
      <c r="C134" s="96"/>
      <c r="D134" s="111"/>
      <c r="E134" s="112"/>
      <c r="F134" s="113"/>
      <c r="G134" s="113"/>
      <c r="H134" s="112"/>
      <c r="I134" s="112"/>
      <c r="J134" s="101"/>
      <c r="K134" s="98"/>
      <c r="L134" s="101"/>
      <c r="M134" s="98">
        <f t="shared" si="102"/>
        <v>0</v>
      </c>
      <c r="N134" s="101">
        <f>N135</f>
        <v>19038953.229999997</v>
      </c>
      <c r="O134" s="101">
        <f>O135</f>
        <v>7518626.3849999998</v>
      </c>
      <c r="P134" s="101"/>
      <c r="Q134" s="809">
        <f>Q135+Q143-1.92</f>
        <v>16332557.879999997</v>
      </c>
      <c r="R134" s="101"/>
      <c r="S134" s="101">
        <f>S144</f>
        <v>2493396.96</v>
      </c>
      <c r="T134" s="101">
        <f>T135+T143+T144</f>
        <v>45383536.375</v>
      </c>
      <c r="U134" s="102">
        <f>U135+U143+U144</f>
        <v>45383536.375</v>
      </c>
      <c r="V134" s="102">
        <f>V135+V143+V144</f>
        <v>45383536.375</v>
      </c>
      <c r="W134" s="83">
        <v>6916925.5300000003</v>
      </c>
      <c r="X134" s="93">
        <f>W134-Q134</f>
        <v>-9415632.3499999978</v>
      </c>
      <c r="Y134" s="83">
        <f>X134/G143</f>
        <v>-77177.314344262282</v>
      </c>
      <c r="AA134" s="83">
        <v>6466219.5300000003</v>
      </c>
      <c r="AB134" s="93">
        <f>AA134-Q134</f>
        <v>-9866338.3499999978</v>
      </c>
      <c r="AC134" s="83">
        <f>AB134/I143</f>
        <v>-82219.486249999987</v>
      </c>
    </row>
    <row r="135" spans="1:29" ht="73.95" customHeight="1" x14ac:dyDescent="0.25">
      <c r="A135" s="92" t="s">
        <v>127</v>
      </c>
      <c r="B135" s="87" t="s">
        <v>128</v>
      </c>
      <c r="C135" s="87"/>
      <c r="D135" s="630"/>
      <c r="E135" s="109"/>
      <c r="F135" s="104"/>
      <c r="G135" s="104"/>
      <c r="H135" s="109"/>
      <c r="I135" s="109"/>
      <c r="J135" s="99"/>
      <c r="K135" s="98"/>
      <c r="L135" s="99"/>
      <c r="M135" s="98"/>
      <c r="N135" s="98">
        <f>SUM(N136:N142)</f>
        <v>19038953.229999997</v>
      </c>
      <c r="O135" s="98">
        <f>SUM(O136:O142)</f>
        <v>7518626.3849999998</v>
      </c>
      <c r="P135" s="98"/>
      <c r="Q135" s="101">
        <f>SUM(Q136:Q142)</f>
        <v>8828208.5599999987</v>
      </c>
      <c r="R135" s="99"/>
      <c r="S135" s="99"/>
      <c r="T135" s="102">
        <f>SUM(T136:T142)</f>
        <v>35385788.174999997</v>
      </c>
      <c r="U135" s="98">
        <f>SUM(U136:U142)</f>
        <v>35385788.174999997</v>
      </c>
      <c r="V135" s="98">
        <f>SUM(V136:V142)</f>
        <v>35385788.174999997</v>
      </c>
      <c r="W135" s="83">
        <v>17989534.530000001</v>
      </c>
      <c r="AA135" s="93">
        <f>17989534.53+U144</f>
        <v>20482931.490000002</v>
      </c>
      <c r="AB135" s="93">
        <f>U134-AA135</f>
        <v>24900604.884999998</v>
      </c>
    </row>
    <row r="136" spans="1:29" ht="103.2" customHeight="1" x14ac:dyDescent="0.25">
      <c r="A136" s="92"/>
      <c r="B136" s="97" t="s">
        <v>129</v>
      </c>
      <c r="C136" s="92" t="s">
        <v>304</v>
      </c>
      <c r="D136" s="630" t="s">
        <v>130</v>
      </c>
      <c r="E136" s="104">
        <f>18-18</f>
        <v>0</v>
      </c>
      <c r="F136" s="104">
        <f>18-18</f>
        <v>0</v>
      </c>
      <c r="G136" s="104">
        <v>0</v>
      </c>
      <c r="H136" s="104">
        <v>0</v>
      </c>
      <c r="I136" s="104">
        <v>0</v>
      </c>
      <c r="J136" s="99">
        <v>86493.99</v>
      </c>
      <c r="K136" s="98">
        <f>33955.33+10788.57</f>
        <v>44743.9</v>
      </c>
      <c r="L136" s="101">
        <v>72362.48</v>
      </c>
      <c r="M136" s="98">
        <f t="shared" si="102"/>
        <v>203600.37</v>
      </c>
      <c r="N136" s="98">
        <f>G136*J136</f>
        <v>0</v>
      </c>
      <c r="O136" s="99">
        <f>G136*K136</f>
        <v>0</v>
      </c>
      <c r="P136" s="117"/>
      <c r="Q136" s="99">
        <f>G136*L136</f>
        <v>0</v>
      </c>
      <c r="R136" s="99"/>
      <c r="S136" s="99"/>
      <c r="T136" s="98">
        <f>SUM(N136:Q136)</f>
        <v>0</v>
      </c>
      <c r="U136" s="98">
        <f t="shared" ref="U136:V143" si="151">T136</f>
        <v>0</v>
      </c>
      <c r="V136" s="98">
        <f t="shared" si="151"/>
        <v>0</v>
      </c>
      <c r="W136" s="93"/>
      <c r="X136" s="93">
        <f>W135-U134</f>
        <v>-27394001.844999999</v>
      </c>
    </row>
    <row r="137" spans="1:29" ht="103.2" customHeight="1" x14ac:dyDescent="0.25">
      <c r="A137" s="92"/>
      <c r="B137" s="97" t="s">
        <v>336</v>
      </c>
      <c r="C137" s="787" t="s">
        <v>526</v>
      </c>
      <c r="D137" s="630" t="s">
        <v>130</v>
      </c>
      <c r="E137" s="104">
        <v>21</v>
      </c>
      <c r="F137" s="580">
        <v>22</v>
      </c>
      <c r="G137" s="104">
        <f>16+2</f>
        <v>18</v>
      </c>
      <c r="H137" s="104">
        <v>16</v>
      </c>
      <c r="I137" s="104">
        <v>16</v>
      </c>
      <c r="J137" s="99">
        <v>245948.56</v>
      </c>
      <c r="K137" s="98">
        <f>64533.72+18402.51*2</f>
        <v>101338.73999999999</v>
      </c>
      <c r="L137" s="101">
        <v>72361.48</v>
      </c>
      <c r="M137" s="98">
        <f t="shared" ref="M137" si="152">J137+K137+L137</f>
        <v>419648.77999999997</v>
      </c>
      <c r="N137" s="98">
        <f>G137*J137</f>
        <v>4427074.08</v>
      </c>
      <c r="O137" s="99">
        <f>G137*K137</f>
        <v>1824097.3199999998</v>
      </c>
      <c r="P137" s="109"/>
      <c r="Q137" s="767">
        <f>G137*L137+2</f>
        <v>1302508.6399999999</v>
      </c>
      <c r="R137" s="99"/>
      <c r="S137" s="99"/>
      <c r="T137" s="768">
        <f>SUM(N137:Q137)</f>
        <v>7553680.04</v>
      </c>
      <c r="U137" s="98">
        <f t="shared" ref="U137" si="153">T137</f>
        <v>7553680.04</v>
      </c>
      <c r="V137" s="98">
        <f t="shared" ref="V137" si="154">U137</f>
        <v>7553680.04</v>
      </c>
      <c r="W137" s="93"/>
      <c r="X137" s="93"/>
    </row>
    <row r="138" spans="1:29" ht="31.2" customHeight="1" x14ac:dyDescent="0.25">
      <c r="A138" s="92"/>
      <c r="B138" s="97" t="s">
        <v>336</v>
      </c>
      <c r="C138" s="863" t="s">
        <v>614</v>
      </c>
      <c r="D138" s="630" t="s">
        <v>130</v>
      </c>
      <c r="E138" s="104">
        <v>21</v>
      </c>
      <c r="F138" s="580">
        <v>22</v>
      </c>
      <c r="G138" s="104">
        <v>13</v>
      </c>
      <c r="H138" s="104">
        <v>13</v>
      </c>
      <c r="I138" s="104">
        <v>13</v>
      </c>
      <c r="J138" s="99">
        <v>132713.06</v>
      </c>
      <c r="K138" s="98">
        <f>32326.86+18402.51</f>
        <v>50729.369999999995</v>
      </c>
      <c r="L138" s="101">
        <v>72362.48</v>
      </c>
      <c r="M138" s="98">
        <f t="shared" si="102"/>
        <v>255804.90999999997</v>
      </c>
      <c r="N138" s="98">
        <f>G138*J138</f>
        <v>1725269.78</v>
      </c>
      <c r="O138" s="99">
        <f>G138*K138</f>
        <v>659481.80999999994</v>
      </c>
      <c r="P138" s="109"/>
      <c r="Q138" s="767">
        <f>G138*L138+2</f>
        <v>940714.24</v>
      </c>
      <c r="R138" s="99"/>
      <c r="S138" s="99"/>
      <c r="T138" s="768">
        <f>SUM(N138:Q138)</f>
        <v>3325465.83</v>
      </c>
      <c r="U138" s="98">
        <f t="shared" si="151"/>
        <v>3325465.83</v>
      </c>
      <c r="V138" s="98">
        <f t="shared" si="151"/>
        <v>3325465.83</v>
      </c>
    </row>
    <row r="139" spans="1:29" ht="30.6" customHeight="1" x14ac:dyDescent="0.25">
      <c r="A139" s="92"/>
      <c r="B139" s="97" t="s">
        <v>129</v>
      </c>
      <c r="C139" s="864"/>
      <c r="D139" s="630" t="s">
        <v>130</v>
      </c>
      <c r="E139" s="104">
        <v>16</v>
      </c>
      <c r="F139" s="580">
        <v>16</v>
      </c>
      <c r="G139" s="104">
        <v>19</v>
      </c>
      <c r="H139" s="104">
        <v>19</v>
      </c>
      <c r="I139" s="104">
        <v>19</v>
      </c>
      <c r="J139" s="99">
        <v>175329.95</v>
      </c>
      <c r="K139" s="98">
        <f>43062.49+18402.51*1.5</f>
        <v>70666.255000000005</v>
      </c>
      <c r="L139" s="101">
        <v>72362.48</v>
      </c>
      <c r="M139" s="98">
        <f t="shared" si="102"/>
        <v>318358.685</v>
      </c>
      <c r="N139" s="98">
        <f t="shared" ref="N139" si="155">G139*J139</f>
        <v>3331269.0500000003</v>
      </c>
      <c r="O139" s="99">
        <f>G139*K139</f>
        <v>1342658.8450000002</v>
      </c>
      <c r="P139" s="109"/>
      <c r="Q139" s="99">
        <f t="shared" ref="Q139" si="156">G139*L139</f>
        <v>1374887.1199999999</v>
      </c>
      <c r="R139" s="99"/>
      <c r="S139" s="99"/>
      <c r="T139" s="98">
        <f t="shared" ref="T139:T142" si="157">SUM(N139:Q139)</f>
        <v>6048815.0150000006</v>
      </c>
      <c r="U139" s="98">
        <f t="shared" si="151"/>
        <v>6048815.0150000006</v>
      </c>
      <c r="V139" s="98">
        <f t="shared" si="151"/>
        <v>6048815.0150000006</v>
      </c>
    </row>
    <row r="140" spans="1:29" ht="30.6" customHeight="1" x14ac:dyDescent="0.25">
      <c r="A140" s="92"/>
      <c r="B140" s="97" t="s">
        <v>129</v>
      </c>
      <c r="C140" s="864"/>
      <c r="D140" s="630" t="s">
        <v>130</v>
      </c>
      <c r="E140" s="104"/>
      <c r="F140" s="580"/>
      <c r="G140" s="104">
        <v>0</v>
      </c>
      <c r="H140" s="104">
        <v>0</v>
      </c>
      <c r="I140" s="104">
        <v>0</v>
      </c>
      <c r="J140" s="99">
        <v>175329.95</v>
      </c>
      <c r="K140" s="98">
        <f>32326.86+18402.51</f>
        <v>50729.369999999995</v>
      </c>
      <c r="L140" s="101">
        <v>72361.48</v>
      </c>
      <c r="M140" s="98">
        <f t="shared" ref="M140" si="158">J140+K140+L140</f>
        <v>298420.8</v>
      </c>
      <c r="N140" s="98">
        <f>G140*J140</f>
        <v>0</v>
      </c>
      <c r="O140" s="98">
        <f t="shared" ref="O140" si="159">G140*K140</f>
        <v>0</v>
      </c>
      <c r="P140" s="109"/>
      <c r="Q140" s="99">
        <f>G140*L140</f>
        <v>0</v>
      </c>
      <c r="R140" s="99"/>
      <c r="S140" s="99"/>
      <c r="T140" s="98">
        <f>SUM(N140:Q140)</f>
        <v>0</v>
      </c>
      <c r="U140" s="98">
        <f>T140</f>
        <v>0</v>
      </c>
      <c r="V140" s="98">
        <f>U140</f>
        <v>0</v>
      </c>
    </row>
    <row r="141" spans="1:29" ht="31.95" customHeight="1" x14ac:dyDescent="0.25">
      <c r="A141" s="482" t="s">
        <v>584</v>
      </c>
      <c r="B141" s="97" t="s">
        <v>336</v>
      </c>
      <c r="C141" s="888"/>
      <c r="D141" s="630" t="s">
        <v>130</v>
      </c>
      <c r="E141" s="104">
        <v>2</v>
      </c>
      <c r="F141" s="580">
        <v>1</v>
      </c>
      <c r="G141" s="113">
        <v>2</v>
      </c>
      <c r="H141" s="113">
        <v>2</v>
      </c>
      <c r="I141" s="113">
        <v>2</v>
      </c>
      <c r="J141" s="99">
        <v>132713.06</v>
      </c>
      <c r="K141" s="98">
        <f>43062.49+18402.51*1.5</f>
        <v>70666.255000000005</v>
      </c>
      <c r="L141" s="101">
        <v>72362.48</v>
      </c>
      <c r="M141" s="98">
        <f t="shared" si="102"/>
        <v>275741.79499999998</v>
      </c>
      <c r="N141" s="98">
        <f>G141*J141</f>
        <v>265426.12</v>
      </c>
      <c r="O141" s="98">
        <f t="shared" ref="O141" si="160">G141*K141</f>
        <v>141332.51</v>
      </c>
      <c r="P141" s="109"/>
      <c r="Q141" s="99">
        <f>G141*L141</f>
        <v>144724.96</v>
      </c>
      <c r="R141" s="99"/>
      <c r="S141" s="99"/>
      <c r="T141" s="98">
        <f>SUM(N141:Q141)</f>
        <v>551483.59</v>
      </c>
      <c r="U141" s="98">
        <f>T141</f>
        <v>551483.59</v>
      </c>
      <c r="V141" s="98">
        <f>U141</f>
        <v>551483.59</v>
      </c>
    </row>
    <row r="142" spans="1:29" ht="28.95" customHeight="1" x14ac:dyDescent="0.25">
      <c r="A142" s="97"/>
      <c r="B142" s="97" t="s">
        <v>334</v>
      </c>
      <c r="C142" s="873"/>
      <c r="D142" s="630" t="s">
        <v>130</v>
      </c>
      <c r="E142" s="104">
        <v>89</v>
      </c>
      <c r="F142" s="580">
        <v>80</v>
      </c>
      <c r="G142" s="104">
        <f>86-16</f>
        <v>70</v>
      </c>
      <c r="H142" s="104">
        <f t="shared" ref="H142:I142" si="161">86-16</f>
        <v>70</v>
      </c>
      <c r="I142" s="104">
        <f t="shared" si="161"/>
        <v>70</v>
      </c>
      <c r="J142" s="99">
        <f>95705.64+37007.42</f>
        <v>132713.06</v>
      </c>
      <c r="K142" s="98">
        <f>32326.86+18402.51</f>
        <v>50729.369999999995</v>
      </c>
      <c r="L142" s="101">
        <v>72362.48</v>
      </c>
      <c r="M142" s="98">
        <f t="shared" si="102"/>
        <v>255804.90999999997</v>
      </c>
      <c r="N142" s="98">
        <f>G142*J142</f>
        <v>9289914.1999999993</v>
      </c>
      <c r="O142" s="101">
        <f>G142*K142</f>
        <v>3551055.8999999994</v>
      </c>
      <c r="P142" s="117"/>
      <c r="Q142" s="99">
        <f>G142*L142</f>
        <v>5065373.5999999996</v>
      </c>
      <c r="R142" s="99"/>
      <c r="S142" s="99"/>
      <c r="T142" s="98">
        <f t="shared" si="157"/>
        <v>17906343.699999996</v>
      </c>
      <c r="U142" s="98">
        <f t="shared" si="151"/>
        <v>17906343.699999996</v>
      </c>
      <c r="V142" s="98">
        <f t="shared" si="151"/>
        <v>17906343.699999996</v>
      </c>
    </row>
    <row r="143" spans="1:29" ht="61.95" customHeight="1" x14ac:dyDescent="0.25">
      <c r="A143" s="92" t="s">
        <v>133</v>
      </c>
      <c r="B143" s="97" t="s">
        <v>134</v>
      </c>
      <c r="C143" s="97" t="s">
        <v>54</v>
      </c>
      <c r="D143" s="630" t="s">
        <v>130</v>
      </c>
      <c r="E143" s="104">
        <f>E136+E138+E139+E141+E142</f>
        <v>128</v>
      </c>
      <c r="F143" s="674">
        <f>F136+F138+F139+F141+F142</f>
        <v>119</v>
      </c>
      <c r="G143" s="113">
        <f>G136+G138+G139+G141+G142+G140+G137</f>
        <v>122</v>
      </c>
      <c r="H143" s="113">
        <f t="shared" ref="H143:I143" si="162">H136+H138+H139+H141+H142+H140+H137</f>
        <v>120</v>
      </c>
      <c r="I143" s="113">
        <f t="shared" si="162"/>
        <v>120</v>
      </c>
      <c r="J143" s="99">
        <v>0</v>
      </c>
      <c r="K143" s="98">
        <v>0</v>
      </c>
      <c r="L143" s="101">
        <v>61511.06</v>
      </c>
      <c r="M143" s="98">
        <f t="shared" si="102"/>
        <v>61511.06</v>
      </c>
      <c r="N143" s="98">
        <f>G143*J143</f>
        <v>0</v>
      </c>
      <c r="O143" s="98">
        <f>G143*K143</f>
        <v>0</v>
      </c>
      <c r="P143" s="109"/>
      <c r="Q143" s="107">
        <f>G143*L143+1.92</f>
        <v>7504351.2399999993</v>
      </c>
      <c r="R143" s="99"/>
      <c r="S143" s="99"/>
      <c r="T143" s="102">
        <f>SUM(N143:Q143)</f>
        <v>7504351.2399999993</v>
      </c>
      <c r="U143" s="98">
        <f t="shared" si="151"/>
        <v>7504351.2399999993</v>
      </c>
      <c r="V143" s="98">
        <f t="shared" si="151"/>
        <v>7504351.2399999993</v>
      </c>
    </row>
    <row r="144" spans="1:29" ht="30" customHeight="1" x14ac:dyDescent="0.25">
      <c r="A144" s="484" t="s">
        <v>630</v>
      </c>
      <c r="B144" s="97" t="s">
        <v>134</v>
      </c>
      <c r="C144" s="97" t="s">
        <v>135</v>
      </c>
      <c r="D144" s="630"/>
      <c r="E144" s="109"/>
      <c r="F144" s="104"/>
      <c r="G144" s="113">
        <f>G143</f>
        <v>122</v>
      </c>
      <c r="H144" s="113">
        <f t="shared" ref="H144:I144" si="163">H143</f>
        <v>120</v>
      </c>
      <c r="I144" s="113">
        <f t="shared" si="163"/>
        <v>120</v>
      </c>
      <c r="J144" s="99"/>
      <c r="K144" s="98"/>
      <c r="L144" s="101">
        <v>20437.68</v>
      </c>
      <c r="M144" s="98">
        <f t="shared" si="102"/>
        <v>20437.68</v>
      </c>
      <c r="N144" s="109"/>
      <c r="O144" s="98"/>
      <c r="P144" s="109"/>
      <c r="Q144" s="99"/>
      <c r="R144" s="99"/>
      <c r="S144" s="107">
        <f>G144*L144</f>
        <v>2493396.96</v>
      </c>
      <c r="T144" s="102">
        <f>S144</f>
        <v>2493396.96</v>
      </c>
      <c r="U144" s="98">
        <f>T144</f>
        <v>2493396.96</v>
      </c>
      <c r="V144" s="98">
        <f>U144</f>
        <v>2493396.96</v>
      </c>
    </row>
    <row r="145" spans="1:29" ht="21" customHeight="1" x14ac:dyDescent="0.25">
      <c r="A145" s="96" t="s">
        <v>149</v>
      </c>
      <c r="B145" s="96"/>
      <c r="C145" s="96"/>
      <c r="D145" s="111"/>
      <c r="E145" s="112"/>
      <c r="F145" s="113"/>
      <c r="G145" s="113"/>
      <c r="H145" s="112"/>
      <c r="I145" s="112"/>
      <c r="J145" s="101"/>
      <c r="K145" s="98"/>
      <c r="L145" s="101"/>
      <c r="M145" s="98">
        <f t="shared" si="102"/>
        <v>0</v>
      </c>
      <c r="N145" s="101">
        <f>N146+N158</f>
        <v>21064378.069999993</v>
      </c>
      <c r="O145" s="101">
        <f>O146</f>
        <v>8834623.0699999984</v>
      </c>
      <c r="P145" s="113"/>
      <c r="Q145" s="807">
        <f>Q146+Q155</f>
        <v>16466406.419999998</v>
      </c>
      <c r="R145" s="101"/>
      <c r="S145" s="101">
        <f>S156</f>
        <v>2513834.64</v>
      </c>
      <c r="T145" s="101">
        <f>T146+T155+T156+T158</f>
        <v>48879242.199999996</v>
      </c>
      <c r="U145" s="102">
        <f>U146+U155+U156+U158</f>
        <v>48674792.049999997</v>
      </c>
      <c r="V145" s="102">
        <f>V146+V155+V156+V158</f>
        <v>48674792.049999997</v>
      </c>
      <c r="W145" s="83">
        <v>7637084.2800000003</v>
      </c>
      <c r="X145" s="93">
        <f>W145-Q145</f>
        <v>-8829322.1399999969</v>
      </c>
      <c r="Y145" s="83">
        <f>X145/G155</f>
        <v>-71783.106829268261</v>
      </c>
      <c r="AA145" s="83">
        <v>7421318.2800000003</v>
      </c>
      <c r="AB145" s="93">
        <f>AA145-Q145</f>
        <v>-9045088.1399999969</v>
      </c>
      <c r="AC145" s="83">
        <f>AB145/I155</f>
        <v>-73537.301951219488</v>
      </c>
    </row>
    <row r="146" spans="1:29" ht="79.95" customHeight="1" x14ac:dyDescent="0.25">
      <c r="A146" s="92" t="s">
        <v>127</v>
      </c>
      <c r="B146" s="87" t="s">
        <v>128</v>
      </c>
      <c r="C146" s="87"/>
      <c r="D146" s="630"/>
      <c r="E146" s="109"/>
      <c r="F146" s="104"/>
      <c r="G146" s="104"/>
      <c r="H146" s="109"/>
      <c r="I146" s="109"/>
      <c r="J146" s="99"/>
      <c r="K146" s="98"/>
      <c r="L146" s="99"/>
      <c r="M146" s="98"/>
      <c r="N146" s="98">
        <f>SUM(N147:N154)</f>
        <v>20859927.919999994</v>
      </c>
      <c r="O146" s="98">
        <f t="shared" ref="O146:V146" si="164">SUM(O147:O154)</f>
        <v>8834623.0699999984</v>
      </c>
      <c r="P146" s="98">
        <f t="shared" si="164"/>
        <v>0</v>
      </c>
      <c r="Q146" s="102">
        <f t="shared" si="164"/>
        <v>8900546.0399999991</v>
      </c>
      <c r="R146" s="98">
        <f t="shared" si="164"/>
        <v>0</v>
      </c>
      <c r="S146" s="98"/>
      <c r="T146" s="102">
        <f t="shared" si="164"/>
        <v>38595097.029999994</v>
      </c>
      <c r="U146" s="98">
        <f t="shared" si="164"/>
        <v>38595097.029999994</v>
      </c>
      <c r="V146" s="98">
        <f t="shared" si="164"/>
        <v>38595097.029999994</v>
      </c>
      <c r="W146" s="93">
        <v>18749103.280000001</v>
      </c>
      <c r="Y146" s="93"/>
      <c r="AA146" s="93">
        <f>18749103.28+U156</f>
        <v>21262937.920000002</v>
      </c>
      <c r="AB146" s="93">
        <f>U145-AA146</f>
        <v>27411854.129999995</v>
      </c>
    </row>
    <row r="147" spans="1:29" ht="108" customHeight="1" x14ac:dyDescent="0.25">
      <c r="A147" s="92"/>
      <c r="B147" s="92" t="s">
        <v>129</v>
      </c>
      <c r="C147" s="626" t="s">
        <v>304</v>
      </c>
      <c r="D147" s="630" t="s">
        <v>130</v>
      </c>
      <c r="E147" s="104">
        <v>16</v>
      </c>
      <c r="F147" s="580">
        <v>14</v>
      </c>
      <c r="G147" s="104">
        <v>14</v>
      </c>
      <c r="H147" s="104">
        <v>14</v>
      </c>
      <c r="I147" s="104">
        <v>14</v>
      </c>
      <c r="J147" s="99">
        <v>86493.99</v>
      </c>
      <c r="K147" s="98">
        <f>43062.49+18402.51*1</f>
        <v>61465</v>
      </c>
      <c r="L147" s="101">
        <v>72362.48</v>
      </c>
      <c r="M147" s="98">
        <f t="shared" ref="M147:M148" si="165">J147+K147+L147</f>
        <v>220321.46999999997</v>
      </c>
      <c r="N147" s="99">
        <f t="shared" ref="N147:N153" si="166">G147*J147</f>
        <v>1210915.8600000001</v>
      </c>
      <c r="O147" s="98">
        <f>G147*K147</f>
        <v>860510</v>
      </c>
      <c r="P147" s="109"/>
      <c r="Q147" s="99">
        <f t="shared" ref="Q147:Q153" si="167">G147*L147</f>
        <v>1013074.72</v>
      </c>
      <c r="R147" s="99"/>
      <c r="S147" s="99"/>
      <c r="T147" s="98">
        <f t="shared" ref="T147:T155" si="168">SUM(N147:Q147)</f>
        <v>3084500.58</v>
      </c>
      <c r="U147" s="98">
        <f t="shared" ref="U147:V153" si="169">T147</f>
        <v>3084500.58</v>
      </c>
      <c r="V147" s="98">
        <f t="shared" si="169"/>
        <v>3084500.58</v>
      </c>
      <c r="W147" s="93"/>
      <c r="Y147" s="93"/>
      <c r="AA147" s="93"/>
      <c r="AB147" s="93"/>
    </row>
    <row r="148" spans="1:29" ht="108" customHeight="1" x14ac:dyDescent="0.25">
      <c r="A148" s="663" t="s">
        <v>346</v>
      </c>
      <c r="B148" s="97" t="s">
        <v>596</v>
      </c>
      <c r="C148" s="787" t="s">
        <v>526</v>
      </c>
      <c r="D148" s="630" t="s">
        <v>130</v>
      </c>
      <c r="E148" s="104">
        <v>14</v>
      </c>
      <c r="F148" s="580">
        <v>23</v>
      </c>
      <c r="G148" s="104">
        <v>39</v>
      </c>
      <c r="H148" s="104">
        <v>39</v>
      </c>
      <c r="I148" s="104">
        <v>39</v>
      </c>
      <c r="J148" s="99">
        <v>245948.56</v>
      </c>
      <c r="K148" s="98">
        <f>65533.72+15402.51*2</f>
        <v>96338.74</v>
      </c>
      <c r="L148" s="101">
        <v>72361.48</v>
      </c>
      <c r="M148" s="98">
        <f t="shared" si="165"/>
        <v>414648.77999999997</v>
      </c>
      <c r="N148" s="99">
        <f t="shared" ref="N148" si="170">G148*J148</f>
        <v>9591993.8399999999</v>
      </c>
      <c r="O148" s="98">
        <f>G148*K148</f>
        <v>3757210.8600000003</v>
      </c>
      <c r="P148" s="109"/>
      <c r="Q148" s="99">
        <f t="shared" si="167"/>
        <v>2822097.7199999997</v>
      </c>
      <c r="R148" s="99"/>
      <c r="S148" s="99"/>
      <c r="T148" s="98">
        <f t="shared" si="168"/>
        <v>16171302.419999998</v>
      </c>
      <c r="U148" s="98">
        <f t="shared" ref="U148" si="171">T148</f>
        <v>16171302.419999998</v>
      </c>
      <c r="V148" s="98">
        <f t="shared" ref="V148" si="172">U148</f>
        <v>16171302.419999998</v>
      </c>
      <c r="W148" s="93"/>
      <c r="Y148" s="93"/>
      <c r="AA148" s="93"/>
      <c r="AB148" s="93"/>
    </row>
    <row r="149" spans="1:29" ht="26.4" customHeight="1" x14ac:dyDescent="0.25">
      <c r="A149" s="92"/>
      <c r="B149" s="97" t="s">
        <v>129</v>
      </c>
      <c r="C149" s="863" t="s">
        <v>609</v>
      </c>
      <c r="D149" s="630" t="s">
        <v>130</v>
      </c>
      <c r="E149" s="104">
        <v>14</v>
      </c>
      <c r="F149" s="580">
        <v>23</v>
      </c>
      <c r="G149" s="104">
        <v>16</v>
      </c>
      <c r="H149" s="104">
        <v>16</v>
      </c>
      <c r="I149" s="104">
        <v>16</v>
      </c>
      <c r="J149" s="99">
        <v>175329.95</v>
      </c>
      <c r="K149" s="98">
        <f>43062.49+18402.51*1.5</f>
        <v>70666.255000000005</v>
      </c>
      <c r="L149" s="101">
        <v>72362.48</v>
      </c>
      <c r="M149" s="98">
        <f t="shared" si="102"/>
        <v>318358.685</v>
      </c>
      <c r="N149" s="99">
        <f t="shared" si="166"/>
        <v>2805279.2</v>
      </c>
      <c r="O149" s="98">
        <f>G149*K149</f>
        <v>1130660.08</v>
      </c>
      <c r="P149" s="109"/>
      <c r="Q149" s="99">
        <f t="shared" si="167"/>
        <v>1157799.68</v>
      </c>
      <c r="R149" s="99"/>
      <c r="S149" s="99"/>
      <c r="T149" s="98">
        <f t="shared" si="168"/>
        <v>5093738.96</v>
      </c>
      <c r="U149" s="98">
        <f t="shared" si="169"/>
        <v>5093738.96</v>
      </c>
      <c r="V149" s="98">
        <f t="shared" si="169"/>
        <v>5093738.96</v>
      </c>
    </row>
    <row r="150" spans="1:29" ht="25.95" customHeight="1" x14ac:dyDescent="0.25">
      <c r="A150" s="482" t="s">
        <v>347</v>
      </c>
      <c r="B150" s="97" t="s">
        <v>334</v>
      </c>
      <c r="C150" s="889"/>
      <c r="D150" s="630" t="s">
        <v>130</v>
      </c>
      <c r="E150" s="104">
        <v>1</v>
      </c>
      <c r="F150" s="580">
        <v>1</v>
      </c>
      <c r="G150" s="113">
        <f>1-1</f>
        <v>0</v>
      </c>
      <c r="H150" s="113">
        <f>1-1</f>
        <v>0</v>
      </c>
      <c r="I150" s="113">
        <f>1-1</f>
        <v>0</v>
      </c>
      <c r="J150" s="99">
        <v>132713.06</v>
      </c>
      <c r="K150" s="98">
        <f>32326.86+18402.51*1</f>
        <v>50729.369999999995</v>
      </c>
      <c r="L150" s="101">
        <v>72362.48</v>
      </c>
      <c r="M150" s="98">
        <f t="shared" si="102"/>
        <v>255804.90999999997</v>
      </c>
      <c r="N150" s="99">
        <f t="shared" si="166"/>
        <v>0</v>
      </c>
      <c r="O150" s="98">
        <f t="shared" ref="O150" si="173">G150*K150</f>
        <v>0</v>
      </c>
      <c r="P150" s="109"/>
      <c r="Q150" s="99">
        <f t="shared" si="167"/>
        <v>0</v>
      </c>
      <c r="R150" s="99"/>
      <c r="S150" s="99"/>
      <c r="T150" s="98">
        <f t="shared" si="168"/>
        <v>0</v>
      </c>
      <c r="U150" s="98">
        <f t="shared" si="169"/>
        <v>0</v>
      </c>
      <c r="V150" s="98">
        <f t="shared" si="169"/>
        <v>0</v>
      </c>
      <c r="X150" s="93">
        <f>W146-U145</f>
        <v>-29925688.769999996</v>
      </c>
    </row>
    <row r="151" spans="1:29" ht="25.2" customHeight="1" x14ac:dyDescent="0.25">
      <c r="A151" s="97"/>
      <c r="B151" s="97" t="s">
        <v>334</v>
      </c>
      <c r="C151" s="889"/>
      <c r="D151" s="630" t="s">
        <v>130</v>
      </c>
      <c r="E151" s="104">
        <v>54</v>
      </c>
      <c r="F151" s="580">
        <v>60</v>
      </c>
      <c r="G151" s="104">
        <v>45</v>
      </c>
      <c r="H151" s="104">
        <f>51-6</f>
        <v>45</v>
      </c>
      <c r="I151" s="104">
        <f>51-6</f>
        <v>45</v>
      </c>
      <c r="J151" s="99">
        <v>132713.06</v>
      </c>
      <c r="K151" s="98">
        <f t="shared" ref="K151:K153" si="174">32326.86+18402.51*1</f>
        <v>50729.369999999995</v>
      </c>
      <c r="L151" s="101">
        <v>72362.48</v>
      </c>
      <c r="M151" s="98">
        <f t="shared" si="102"/>
        <v>255804.90999999997</v>
      </c>
      <c r="N151" s="99">
        <f t="shared" si="166"/>
        <v>5972087.7000000002</v>
      </c>
      <c r="O151" s="98">
        <f>G151*K151</f>
        <v>2282821.65</v>
      </c>
      <c r="P151" s="109"/>
      <c r="Q151" s="99">
        <f t="shared" si="167"/>
        <v>3256311.5999999996</v>
      </c>
      <c r="R151" s="99"/>
      <c r="S151" s="99"/>
      <c r="T151" s="98">
        <f t="shared" si="168"/>
        <v>11511220.949999999</v>
      </c>
      <c r="U151" s="98">
        <f t="shared" si="169"/>
        <v>11511220.949999999</v>
      </c>
      <c r="V151" s="98">
        <f t="shared" si="169"/>
        <v>11511220.949999999</v>
      </c>
    </row>
    <row r="152" spans="1:29" ht="27" customHeight="1" x14ac:dyDescent="0.25">
      <c r="A152" s="97"/>
      <c r="B152" s="97" t="s">
        <v>334</v>
      </c>
      <c r="C152" s="889"/>
      <c r="D152" s="630" t="s">
        <v>130</v>
      </c>
      <c r="E152" s="104">
        <v>8</v>
      </c>
      <c r="F152" s="580">
        <f>8-3</f>
        <v>5</v>
      </c>
      <c r="G152" s="104">
        <f>7</f>
        <v>7</v>
      </c>
      <c r="H152" s="104">
        <f>7</f>
        <v>7</v>
      </c>
      <c r="I152" s="104">
        <f>7</f>
        <v>7</v>
      </c>
      <c r="J152" s="99">
        <v>132713.06</v>
      </c>
      <c r="K152" s="98">
        <f t="shared" si="174"/>
        <v>50729.369999999995</v>
      </c>
      <c r="L152" s="101">
        <v>72362.48</v>
      </c>
      <c r="M152" s="98">
        <f t="shared" si="102"/>
        <v>255804.90999999997</v>
      </c>
      <c r="N152" s="99">
        <f t="shared" si="166"/>
        <v>928991.41999999993</v>
      </c>
      <c r="O152" s="98">
        <f>G152*K152</f>
        <v>355105.58999999997</v>
      </c>
      <c r="P152" s="109"/>
      <c r="Q152" s="99">
        <f t="shared" si="167"/>
        <v>506537.36</v>
      </c>
      <c r="R152" s="99"/>
      <c r="S152" s="99"/>
      <c r="T152" s="98">
        <f t="shared" si="168"/>
        <v>1790634.3699999996</v>
      </c>
      <c r="U152" s="98">
        <f t="shared" si="169"/>
        <v>1790634.3699999996</v>
      </c>
      <c r="V152" s="98">
        <f t="shared" si="169"/>
        <v>1790634.3699999996</v>
      </c>
    </row>
    <row r="153" spans="1:29" ht="27" customHeight="1" x14ac:dyDescent="0.25">
      <c r="A153" s="482" t="s">
        <v>523</v>
      </c>
      <c r="B153" s="92" t="s">
        <v>332</v>
      </c>
      <c r="C153" s="889"/>
      <c r="D153" s="630" t="s">
        <v>130</v>
      </c>
      <c r="E153" s="104">
        <v>1</v>
      </c>
      <c r="F153" s="580">
        <v>1</v>
      </c>
      <c r="G153" s="113">
        <v>1</v>
      </c>
      <c r="H153" s="113">
        <v>1</v>
      </c>
      <c r="I153" s="113">
        <v>1</v>
      </c>
      <c r="J153" s="99">
        <v>175329.95</v>
      </c>
      <c r="K153" s="98">
        <f t="shared" si="174"/>
        <v>50729.369999999995</v>
      </c>
      <c r="L153" s="101">
        <v>72362.48</v>
      </c>
      <c r="M153" s="98">
        <f t="shared" si="102"/>
        <v>298421.8</v>
      </c>
      <c r="N153" s="99">
        <f t="shared" si="166"/>
        <v>175329.95</v>
      </c>
      <c r="O153" s="98">
        <f>G153*K153</f>
        <v>50729.369999999995</v>
      </c>
      <c r="P153" s="109"/>
      <c r="Q153" s="99">
        <f t="shared" si="167"/>
        <v>72362.48</v>
      </c>
      <c r="R153" s="99"/>
      <c r="S153" s="99"/>
      <c r="T153" s="98">
        <f t="shared" si="168"/>
        <v>298421.8</v>
      </c>
      <c r="U153" s="98">
        <f t="shared" si="169"/>
        <v>298421.8</v>
      </c>
      <c r="V153" s="98">
        <f t="shared" si="169"/>
        <v>298421.8</v>
      </c>
    </row>
    <row r="154" spans="1:29" ht="23.4" customHeight="1" x14ac:dyDescent="0.25">
      <c r="A154" s="662" t="s">
        <v>346</v>
      </c>
      <c r="B154" s="97" t="s">
        <v>129</v>
      </c>
      <c r="C154" s="890"/>
      <c r="D154" s="630" t="s">
        <v>130</v>
      </c>
      <c r="E154" s="104">
        <v>3</v>
      </c>
      <c r="F154" s="580">
        <v>3</v>
      </c>
      <c r="G154" s="104">
        <v>1</v>
      </c>
      <c r="H154" s="104">
        <v>1</v>
      </c>
      <c r="I154" s="104">
        <v>1</v>
      </c>
      <c r="J154" s="99">
        <v>175329.95</v>
      </c>
      <c r="K154" s="98">
        <f>32326.86+18402.51*1+257654.9</f>
        <v>308384.27</v>
      </c>
      <c r="L154" s="101">
        <v>72362.48</v>
      </c>
      <c r="M154" s="98">
        <f t="shared" si="102"/>
        <v>556076.70000000007</v>
      </c>
      <c r="N154" s="99">
        <f>J154*G154</f>
        <v>175329.95</v>
      </c>
      <c r="O154" s="98">
        <f>G154*K154+89201.2+0.05</f>
        <v>397585.52</v>
      </c>
      <c r="P154" s="109"/>
      <c r="Q154" s="99">
        <f t="shared" ref="Q154" si="175">G154*L154</f>
        <v>72362.48</v>
      </c>
      <c r="R154" s="99"/>
      <c r="S154" s="99"/>
      <c r="T154" s="98">
        <f t="shared" si="168"/>
        <v>645277.94999999995</v>
      </c>
      <c r="U154" s="98">
        <f>T154</f>
        <v>645277.94999999995</v>
      </c>
      <c r="V154" s="98">
        <f>U154</f>
        <v>645277.94999999995</v>
      </c>
    </row>
    <row r="155" spans="1:29" ht="61.2" customHeight="1" x14ac:dyDescent="0.25">
      <c r="A155" s="92" t="s">
        <v>133</v>
      </c>
      <c r="B155" s="97" t="s">
        <v>134</v>
      </c>
      <c r="C155" s="97" t="s">
        <v>54</v>
      </c>
      <c r="D155" s="630" t="s">
        <v>130</v>
      </c>
      <c r="E155" s="113" t="e">
        <f>E151+#REF!+E150+E149+E154+E153+E147+E152</f>
        <v>#REF!</v>
      </c>
      <c r="F155" s="674" t="e">
        <f>F151+#REF!+F150+F149+F154+F153+F147+F152</f>
        <v>#REF!</v>
      </c>
      <c r="G155" s="113">
        <f>G151+G148+G150+G149+G154+G153+G147+G152</f>
        <v>123</v>
      </c>
      <c r="H155" s="113">
        <f t="shared" ref="H155:I155" si="176">H151+H148+H150+H149+H154+H153+H147+H152</f>
        <v>123</v>
      </c>
      <c r="I155" s="113">
        <f t="shared" si="176"/>
        <v>123</v>
      </c>
      <c r="J155" s="99">
        <v>0</v>
      </c>
      <c r="K155" s="99">
        <v>0</v>
      </c>
      <c r="L155" s="101">
        <f>61511.06</f>
        <v>61511.06</v>
      </c>
      <c r="M155" s="99">
        <f>J155+K155+L155</f>
        <v>61511.06</v>
      </c>
      <c r="N155" s="99">
        <f>G155*J155</f>
        <v>0</v>
      </c>
      <c r="O155" s="99">
        <f>G155*K155</f>
        <v>0</v>
      </c>
      <c r="P155" s="104">
        <f>P151+P152+P150+P149+P154+P153</f>
        <v>0</v>
      </c>
      <c r="Q155" s="107">
        <f>G155*L155</f>
        <v>7565860.3799999999</v>
      </c>
      <c r="R155" s="104" t="e">
        <f>R151+#REF!+R150+R149+R154+R153</f>
        <v>#REF!</v>
      </c>
      <c r="S155" s="104"/>
      <c r="T155" s="102">
        <f t="shared" si="168"/>
        <v>7565860.3799999999</v>
      </c>
      <c r="U155" s="99">
        <f>T155</f>
        <v>7565860.3799999999</v>
      </c>
      <c r="V155" s="99">
        <f>U155</f>
        <v>7565860.3799999999</v>
      </c>
    </row>
    <row r="156" spans="1:29" ht="31.95" customHeight="1" x14ac:dyDescent="0.25">
      <c r="A156" s="581" t="s">
        <v>631</v>
      </c>
      <c r="B156" s="97" t="s">
        <v>134</v>
      </c>
      <c r="C156" s="97" t="s">
        <v>135</v>
      </c>
      <c r="D156" s="630"/>
      <c r="E156" s="109"/>
      <c r="F156" s="104"/>
      <c r="G156" s="113">
        <f>G155</f>
        <v>123</v>
      </c>
      <c r="H156" s="113">
        <f t="shared" ref="H156:I156" si="177">H155</f>
        <v>123</v>
      </c>
      <c r="I156" s="113">
        <f t="shared" si="177"/>
        <v>123</v>
      </c>
      <c r="J156" s="99"/>
      <c r="K156" s="98"/>
      <c r="L156" s="101">
        <v>20437.68</v>
      </c>
      <c r="M156" s="98">
        <f t="shared" si="102"/>
        <v>20437.68</v>
      </c>
      <c r="N156" s="109"/>
      <c r="O156" s="98"/>
      <c r="P156" s="109"/>
      <c r="Q156" s="99"/>
      <c r="R156" s="99"/>
      <c r="S156" s="107">
        <f>G156*L156</f>
        <v>2513834.64</v>
      </c>
      <c r="T156" s="102">
        <f>S156</f>
        <v>2513834.64</v>
      </c>
      <c r="U156" s="98">
        <f>S156</f>
        <v>2513834.64</v>
      </c>
      <c r="V156" s="98">
        <f>S156</f>
        <v>2513834.64</v>
      </c>
    </row>
    <row r="157" spans="1:29" ht="31.95" customHeight="1" x14ac:dyDescent="0.25">
      <c r="A157" s="883" t="s">
        <v>524</v>
      </c>
      <c r="B157" s="881" t="s">
        <v>519</v>
      </c>
      <c r="C157" s="662"/>
      <c r="D157" s="737" t="s">
        <v>24</v>
      </c>
      <c r="E157" s="738"/>
      <c r="F157" s="738">
        <v>30</v>
      </c>
      <c r="G157" s="739">
        <v>30</v>
      </c>
      <c r="H157" s="747">
        <v>0</v>
      </c>
      <c r="I157" s="747">
        <v>0</v>
      </c>
      <c r="J157" s="743">
        <v>0</v>
      </c>
      <c r="K157" s="741"/>
      <c r="L157" s="742"/>
      <c r="M157" s="741">
        <f>J157+K157+L157</f>
        <v>0</v>
      </c>
      <c r="N157" s="741">
        <f>G157*J157</f>
        <v>0</v>
      </c>
      <c r="O157" s="741"/>
      <c r="P157" s="738"/>
      <c r="Q157" s="741"/>
      <c r="R157" s="741"/>
      <c r="S157" s="743"/>
      <c r="T157" s="743">
        <f>SUM(N157:Q157)</f>
        <v>0</v>
      </c>
      <c r="U157" s="743"/>
      <c r="V157" s="743"/>
    </row>
    <row r="158" spans="1:29" ht="31.95" customHeight="1" x14ac:dyDescent="0.25">
      <c r="A158" s="884"/>
      <c r="B158" s="882"/>
      <c r="C158" s="662"/>
      <c r="D158" s="744" t="s">
        <v>235</v>
      </c>
      <c r="E158" s="738">
        <v>0</v>
      </c>
      <c r="F158" s="738">
        <f>64*F157</f>
        <v>1920</v>
      </c>
      <c r="G158" s="739">
        <f>10*2*G157</f>
        <v>600</v>
      </c>
      <c r="H158" s="747">
        <v>0</v>
      </c>
      <c r="I158" s="747">
        <v>0</v>
      </c>
      <c r="J158" s="740">
        <v>341.19</v>
      </c>
      <c r="K158" s="741"/>
      <c r="L158" s="742"/>
      <c r="M158" s="741">
        <f>J158+K158+L158</f>
        <v>341.19</v>
      </c>
      <c r="N158" s="740">
        <f>G158*J158-263.85</f>
        <v>204450.15</v>
      </c>
      <c r="O158" s="741"/>
      <c r="P158" s="738"/>
      <c r="Q158" s="741"/>
      <c r="R158" s="741"/>
      <c r="S158" s="743"/>
      <c r="T158" s="740">
        <f>SUM(N158:Q158)</f>
        <v>204450.15</v>
      </c>
      <c r="U158" s="743">
        <f>H158*J158</f>
        <v>0</v>
      </c>
      <c r="V158" s="743">
        <f>I158*J158</f>
        <v>0</v>
      </c>
    </row>
    <row r="159" spans="1:29" ht="24" customHeight="1" x14ac:dyDescent="0.25">
      <c r="A159" s="681"/>
      <c r="B159" s="677"/>
      <c r="C159" s="420" t="s">
        <v>38</v>
      </c>
      <c r="D159" s="630"/>
      <c r="E159" s="109"/>
      <c r="F159" s="104">
        <v>30</v>
      </c>
      <c r="G159" s="108">
        <f>G157</f>
        <v>30</v>
      </c>
      <c r="H159" s="675">
        <f>H157</f>
        <v>0</v>
      </c>
      <c r="I159" s="675">
        <f>I157</f>
        <v>0</v>
      </c>
      <c r="J159" s="99" t="s">
        <v>26</v>
      </c>
      <c r="K159" s="98" t="s">
        <v>26</v>
      </c>
      <c r="L159" s="101" t="s">
        <v>26</v>
      </c>
      <c r="M159" s="99"/>
      <c r="N159" s="105"/>
      <c r="O159" s="99"/>
      <c r="P159" s="104"/>
      <c r="Q159" s="99"/>
      <c r="R159" s="99"/>
      <c r="S159" s="105"/>
      <c r="T159" s="107"/>
      <c r="U159" s="105"/>
      <c r="V159" s="105"/>
    </row>
    <row r="160" spans="1:29" s="118" customFormat="1" ht="24" customHeight="1" x14ac:dyDescent="0.25">
      <c r="A160" s="96" t="s">
        <v>150</v>
      </c>
      <c r="B160" s="96"/>
      <c r="C160" s="96"/>
      <c r="D160" s="111"/>
      <c r="E160" s="112"/>
      <c r="F160" s="113"/>
      <c r="G160" s="113"/>
      <c r="H160" s="112"/>
      <c r="I160" s="112"/>
      <c r="J160" s="101"/>
      <c r="K160" s="98"/>
      <c r="L160" s="101"/>
      <c r="M160" s="98">
        <f t="shared" si="102"/>
        <v>0</v>
      </c>
      <c r="N160" s="101">
        <f>N161+N175</f>
        <v>30022269.160000004</v>
      </c>
      <c r="O160" s="101">
        <f>O161</f>
        <v>11845799.460000001</v>
      </c>
      <c r="P160" s="101"/>
      <c r="Q160" s="807">
        <f>Q161+Q172</f>
        <v>24364984.280000001</v>
      </c>
      <c r="R160" s="101"/>
      <c r="S160" s="101">
        <f>S173</f>
        <v>3719657.7600000002</v>
      </c>
      <c r="T160" s="101">
        <f>T161+T172+T173+T175</f>
        <v>69952710.659999996</v>
      </c>
      <c r="U160" s="102">
        <f>U161+U172+U173+U175</f>
        <v>69712635.310000002</v>
      </c>
      <c r="V160" s="102">
        <f>V161+V172+V173+V175</f>
        <v>69712635.310000002</v>
      </c>
      <c r="W160" s="118">
        <v>12135022</v>
      </c>
      <c r="X160" s="119">
        <f>W160-Q160</f>
        <v>-12229962.280000001</v>
      </c>
      <c r="Y160" s="118">
        <f>X160/G172</f>
        <v>-67197.594945054952</v>
      </c>
      <c r="AA160" s="118">
        <v>12524345</v>
      </c>
      <c r="AB160" s="119">
        <f>AA160-Q160</f>
        <v>-11840639.280000001</v>
      </c>
      <c r="AC160" s="118">
        <f>AB160/I172</f>
        <v>-65058.457582417592</v>
      </c>
    </row>
    <row r="161" spans="1:32" ht="72.599999999999994" customHeight="1" x14ac:dyDescent="0.25">
      <c r="A161" s="92" t="s">
        <v>127</v>
      </c>
      <c r="B161" s="87" t="s">
        <v>128</v>
      </c>
      <c r="C161" s="87"/>
      <c r="D161" s="630"/>
      <c r="E161" s="109"/>
      <c r="F161" s="104"/>
      <c r="G161" s="104"/>
      <c r="H161" s="109"/>
      <c r="I161" s="109"/>
      <c r="J161" s="99"/>
      <c r="K161" s="98"/>
      <c r="L161" s="99"/>
      <c r="M161" s="98"/>
      <c r="N161" s="98">
        <f>SUM(N162:N171)</f>
        <v>29782193.810000002</v>
      </c>
      <c r="O161" s="98">
        <f t="shared" ref="O161:V161" si="178">SUM(O162:O171)</f>
        <v>11845799.460000001</v>
      </c>
      <c r="P161" s="98">
        <f t="shared" si="178"/>
        <v>0</v>
      </c>
      <c r="Q161" s="102">
        <f t="shared" si="178"/>
        <v>13169971.359999999</v>
      </c>
      <c r="R161" s="98">
        <f t="shared" si="178"/>
        <v>0</v>
      </c>
      <c r="S161" s="98"/>
      <c r="T161" s="102">
        <f t="shared" si="178"/>
        <v>54797964.629999995</v>
      </c>
      <c r="U161" s="98">
        <f t="shared" si="178"/>
        <v>54797964.629999995</v>
      </c>
      <c r="V161" s="98">
        <f t="shared" si="178"/>
        <v>54797964.629999995</v>
      </c>
      <c r="W161" s="93">
        <v>33911273</v>
      </c>
      <c r="AA161" s="93">
        <f>33911273+U173</f>
        <v>37630930.759999998</v>
      </c>
      <c r="AB161" s="93">
        <f>U160-AA161</f>
        <v>32081704.550000004</v>
      </c>
    </row>
    <row r="162" spans="1:32" ht="100.2" customHeight="1" x14ac:dyDescent="0.25">
      <c r="A162" s="92"/>
      <c r="B162" s="97" t="s">
        <v>129</v>
      </c>
      <c r="C162" s="92" t="s">
        <v>475</v>
      </c>
      <c r="D162" s="630" t="s">
        <v>130</v>
      </c>
      <c r="E162" s="104">
        <v>39</v>
      </c>
      <c r="F162" s="580">
        <v>23</v>
      </c>
      <c r="G162" s="104">
        <v>14</v>
      </c>
      <c r="H162" s="104">
        <v>14</v>
      </c>
      <c r="I162" s="104">
        <v>14</v>
      </c>
      <c r="J162" s="99">
        <v>86493.99</v>
      </c>
      <c r="K162" s="98">
        <f>43062.49+16903.56</f>
        <v>59966.05</v>
      </c>
      <c r="L162" s="101">
        <v>72362.48</v>
      </c>
      <c r="M162" s="98">
        <f t="shared" si="102"/>
        <v>218822.52000000002</v>
      </c>
      <c r="N162" s="99">
        <f>G162*J162</f>
        <v>1210915.8600000001</v>
      </c>
      <c r="O162" s="98">
        <f>G162*K162</f>
        <v>839524.70000000007</v>
      </c>
      <c r="P162" s="109"/>
      <c r="Q162" s="99">
        <f>G162*L162</f>
        <v>1013074.72</v>
      </c>
      <c r="R162" s="99"/>
      <c r="S162" s="99"/>
      <c r="T162" s="98">
        <f t="shared" ref="T162:T172" si="179">SUM(N162:Q162)</f>
        <v>3063515.2800000003</v>
      </c>
      <c r="U162" s="98">
        <f>T162</f>
        <v>3063515.2800000003</v>
      </c>
      <c r="V162" s="98">
        <f t="shared" ref="V162:V171" si="180">U162</f>
        <v>3063515.2800000003</v>
      </c>
      <c r="X162" s="93">
        <f>W161-U160</f>
        <v>-35801362.310000002</v>
      </c>
    </row>
    <row r="163" spans="1:32" ht="124.95" customHeight="1" x14ac:dyDescent="0.25">
      <c r="A163" s="92"/>
      <c r="B163" s="97" t="s">
        <v>129</v>
      </c>
      <c r="C163" s="863" t="s">
        <v>303</v>
      </c>
      <c r="D163" s="630" t="s">
        <v>130</v>
      </c>
      <c r="E163" s="104">
        <v>12</v>
      </c>
      <c r="F163" s="580">
        <v>12</v>
      </c>
      <c r="G163" s="104">
        <v>33</v>
      </c>
      <c r="H163" s="104">
        <v>33</v>
      </c>
      <c r="I163" s="104">
        <v>33</v>
      </c>
      <c r="J163" s="99">
        <v>175329.95</v>
      </c>
      <c r="K163" s="98">
        <f>43062.49+16903.56*1.5</f>
        <v>68417.83</v>
      </c>
      <c r="L163" s="101">
        <v>72362.48</v>
      </c>
      <c r="M163" s="98">
        <f t="shared" si="102"/>
        <v>316110.26</v>
      </c>
      <c r="N163" s="99">
        <f>G163*J163</f>
        <v>5785888.3500000006</v>
      </c>
      <c r="O163" s="98">
        <f>G163*K163</f>
        <v>2257788.39</v>
      </c>
      <c r="P163" s="109"/>
      <c r="Q163" s="99">
        <f>G163*L163</f>
        <v>2387961.84</v>
      </c>
      <c r="R163" s="99"/>
      <c r="S163" s="99"/>
      <c r="T163" s="98">
        <f t="shared" si="179"/>
        <v>10431638.58</v>
      </c>
      <c r="U163" s="98">
        <f>T163</f>
        <v>10431638.58</v>
      </c>
      <c r="V163" s="98">
        <f t="shared" si="180"/>
        <v>10431638.58</v>
      </c>
      <c r="X163" s="93"/>
    </row>
    <row r="164" spans="1:32" ht="66.599999999999994" customHeight="1" x14ac:dyDescent="0.25">
      <c r="A164" s="92"/>
      <c r="B164" s="97" t="s">
        <v>336</v>
      </c>
      <c r="C164" s="864"/>
      <c r="D164" s="630" t="s">
        <v>130</v>
      </c>
      <c r="E164" s="104">
        <v>5</v>
      </c>
      <c r="F164" s="580">
        <v>8</v>
      </c>
      <c r="G164" s="104">
        <f>6+1</f>
        <v>7</v>
      </c>
      <c r="H164" s="104">
        <f>5+2</f>
        <v>7</v>
      </c>
      <c r="I164" s="104">
        <f>5+2</f>
        <v>7</v>
      </c>
      <c r="J164" s="99">
        <v>132713.06</v>
      </c>
      <c r="K164" s="98">
        <f>43062.49+16903.56*1.5</f>
        <v>68417.83</v>
      </c>
      <c r="L164" s="101">
        <v>72362.48</v>
      </c>
      <c r="M164" s="98">
        <f t="shared" ref="M164" si="181">J164+K164+L164</f>
        <v>273493.37</v>
      </c>
      <c r="N164" s="98">
        <f t="shared" ref="N164" si="182">G164*J164</f>
        <v>928991.41999999993</v>
      </c>
      <c r="O164" s="98">
        <f>G164*K164+6933.06+260960.38</f>
        <v>746818.25</v>
      </c>
      <c r="P164" s="109"/>
      <c r="Q164" s="99">
        <f t="shared" ref="Q164" si="183">G164*L164</f>
        <v>506537.36</v>
      </c>
      <c r="R164" s="99"/>
      <c r="S164" s="99"/>
      <c r="T164" s="98">
        <f t="shared" ref="T164" si="184">SUM(N164:Q164)</f>
        <v>2182347.0299999998</v>
      </c>
      <c r="U164" s="98">
        <f t="shared" ref="U164" si="185">T164</f>
        <v>2182347.0299999998</v>
      </c>
      <c r="V164" s="98">
        <f t="shared" ref="V164" si="186">U164</f>
        <v>2182347.0299999998</v>
      </c>
      <c r="X164" s="93"/>
    </row>
    <row r="165" spans="1:32" ht="46.2" customHeight="1" x14ac:dyDescent="0.25">
      <c r="A165" s="92"/>
      <c r="B165" s="97" t="s">
        <v>336</v>
      </c>
      <c r="C165" s="864"/>
      <c r="D165" s="630" t="s">
        <v>130</v>
      </c>
      <c r="E165" s="104">
        <v>29</v>
      </c>
      <c r="F165" s="580">
        <v>29</v>
      </c>
      <c r="G165" s="104">
        <v>16</v>
      </c>
      <c r="H165" s="104">
        <v>16</v>
      </c>
      <c r="I165" s="104">
        <v>16</v>
      </c>
      <c r="J165" s="99">
        <v>132713.06</v>
      </c>
      <c r="K165" s="98">
        <f>32326.86+16903.56</f>
        <v>49230.42</v>
      </c>
      <c r="L165" s="101">
        <v>72362.48</v>
      </c>
      <c r="M165" s="98">
        <f t="shared" si="102"/>
        <v>254305.95999999996</v>
      </c>
      <c r="N165" s="98">
        <f>G165*J165</f>
        <v>2123408.96</v>
      </c>
      <c r="O165" s="98">
        <f>G165*K165+6933.06+260960.38-6414.46-36796.16+8841.73</f>
        <v>1021211.2700000001</v>
      </c>
      <c r="P165" s="109"/>
      <c r="Q165" s="99">
        <f t="shared" ref="Q165" si="187">G165*L165</f>
        <v>1157799.68</v>
      </c>
      <c r="R165" s="99"/>
      <c r="S165" s="99"/>
      <c r="T165" s="98">
        <f t="shared" si="179"/>
        <v>4302419.91</v>
      </c>
      <c r="U165" s="98">
        <f t="shared" ref="U165:U173" si="188">T165</f>
        <v>4302419.91</v>
      </c>
      <c r="V165" s="98">
        <f t="shared" si="180"/>
        <v>4302419.91</v>
      </c>
    </row>
    <row r="166" spans="1:32" ht="24.6" customHeight="1" x14ac:dyDescent="0.25">
      <c r="A166" s="481" t="s">
        <v>525</v>
      </c>
      <c r="B166" s="482" t="s">
        <v>334</v>
      </c>
      <c r="C166" s="864"/>
      <c r="D166" s="630"/>
      <c r="E166" s="104">
        <v>1</v>
      </c>
      <c r="F166" s="580">
        <v>1</v>
      </c>
      <c r="G166" s="113">
        <v>1</v>
      </c>
      <c r="H166" s="113">
        <v>1</v>
      </c>
      <c r="I166" s="113">
        <v>1</v>
      </c>
      <c r="J166" s="99">
        <v>132713.06</v>
      </c>
      <c r="K166" s="98">
        <f t="shared" ref="K166:K167" si="189">32326.86+16903.56</f>
        <v>49230.42</v>
      </c>
      <c r="L166" s="101">
        <v>72362.48</v>
      </c>
      <c r="M166" s="375">
        <f t="shared" si="102"/>
        <v>254305.95999999996</v>
      </c>
      <c r="N166" s="375">
        <f>G166*J166</f>
        <v>132713.06</v>
      </c>
      <c r="O166" s="375">
        <f>G166*K166</f>
        <v>49230.42</v>
      </c>
      <c r="P166" s="374"/>
      <c r="Q166" s="375">
        <f>G166*L166</f>
        <v>72362.48</v>
      </c>
      <c r="R166" s="99"/>
      <c r="S166" s="99"/>
      <c r="T166" s="375">
        <f t="shared" si="179"/>
        <v>254305.95999999996</v>
      </c>
      <c r="U166" s="375">
        <f>T166</f>
        <v>254305.95999999996</v>
      </c>
      <c r="V166" s="375">
        <f>U166</f>
        <v>254305.95999999996</v>
      </c>
    </row>
    <row r="167" spans="1:32" ht="27" customHeight="1" x14ac:dyDescent="0.25">
      <c r="A167" s="97"/>
      <c r="B167" s="97" t="s">
        <v>334</v>
      </c>
      <c r="C167" s="865"/>
      <c r="D167" s="630" t="s">
        <v>130</v>
      </c>
      <c r="E167" s="104">
        <v>77</v>
      </c>
      <c r="F167" s="580">
        <v>60</v>
      </c>
      <c r="G167" s="104">
        <v>68</v>
      </c>
      <c r="H167" s="104">
        <v>68</v>
      </c>
      <c r="I167" s="104">
        <v>68</v>
      </c>
      <c r="J167" s="99">
        <v>132713.06</v>
      </c>
      <c r="K167" s="98">
        <f t="shared" si="189"/>
        <v>49230.42</v>
      </c>
      <c r="L167" s="101">
        <v>72362.48</v>
      </c>
      <c r="M167" s="98">
        <f t="shared" si="102"/>
        <v>254305.95999999996</v>
      </c>
      <c r="N167" s="98">
        <f>G167*J167</f>
        <v>9024488.0800000001</v>
      </c>
      <c r="O167" s="98">
        <f>G167*K167</f>
        <v>3347668.56</v>
      </c>
      <c r="P167" s="109"/>
      <c r="Q167" s="99">
        <f>G167*L167</f>
        <v>4920648.6399999997</v>
      </c>
      <c r="R167" s="99"/>
      <c r="S167" s="99"/>
      <c r="T167" s="98">
        <f t="shared" si="179"/>
        <v>17292805.280000001</v>
      </c>
      <c r="U167" s="98">
        <f t="shared" si="188"/>
        <v>17292805.280000001</v>
      </c>
      <c r="V167" s="98">
        <f t="shared" si="180"/>
        <v>17292805.280000001</v>
      </c>
    </row>
    <row r="168" spans="1:32" s="84" customFormat="1" ht="21" hidden="1" customHeight="1" x14ac:dyDescent="0.25">
      <c r="A168" s="630"/>
      <c r="B168" s="111" t="s">
        <v>138</v>
      </c>
      <c r="C168" s="630" t="s">
        <v>54</v>
      </c>
      <c r="D168" s="630" t="s">
        <v>130</v>
      </c>
      <c r="E168" s="104">
        <v>0</v>
      </c>
      <c r="F168" s="104">
        <v>0</v>
      </c>
      <c r="G168" s="104">
        <f t="shared" ref="G168:G170" si="190">((E168*8)+(F168*4))/12</f>
        <v>0</v>
      </c>
      <c r="H168" s="104">
        <v>0</v>
      </c>
      <c r="I168" s="104">
        <v>0</v>
      </c>
      <c r="J168" s="99">
        <v>95706.64</v>
      </c>
      <c r="K168" s="98">
        <f t="shared" ref="K168:K170" si="191">25496.5+13866.12</f>
        <v>39362.620000000003</v>
      </c>
      <c r="L168" s="101">
        <v>72362.48</v>
      </c>
      <c r="M168" s="98">
        <f t="shared" si="102"/>
        <v>207431.74</v>
      </c>
      <c r="N168" s="98">
        <f t="shared" ref="N168:N171" si="192">G168*J168</f>
        <v>0</v>
      </c>
      <c r="O168" s="98">
        <f t="shared" ref="O168:O170" si="193">G168*K168</f>
        <v>0</v>
      </c>
      <c r="P168" s="109"/>
      <c r="Q168" s="99">
        <f t="shared" ref="Q168:Q171" si="194">G168*L168</f>
        <v>0</v>
      </c>
      <c r="R168" s="99"/>
      <c r="S168" s="99"/>
      <c r="T168" s="98">
        <f t="shared" ref="T168:T171" si="195">SUM(N168:Q168)</f>
        <v>0</v>
      </c>
      <c r="U168" s="98">
        <f t="shared" si="188"/>
        <v>0</v>
      </c>
      <c r="V168" s="98">
        <f t="shared" si="180"/>
        <v>0</v>
      </c>
      <c r="AD168" s="83"/>
      <c r="AE168" s="83"/>
      <c r="AF168" s="83"/>
    </row>
    <row r="169" spans="1:32" ht="39" hidden="1" customHeight="1" x14ac:dyDescent="0.25">
      <c r="A169" s="97"/>
      <c r="B169" s="87" t="s">
        <v>139</v>
      </c>
      <c r="C169" s="97" t="s">
        <v>44</v>
      </c>
      <c r="D169" s="630" t="s">
        <v>130</v>
      </c>
      <c r="E169" s="104">
        <v>0</v>
      </c>
      <c r="F169" s="104">
        <v>0</v>
      </c>
      <c r="G169" s="104">
        <f t="shared" si="190"/>
        <v>0</v>
      </c>
      <c r="H169" s="104">
        <v>0</v>
      </c>
      <c r="I169" s="104">
        <v>0</v>
      </c>
      <c r="J169" s="99">
        <v>95707.64</v>
      </c>
      <c r="K169" s="98">
        <f t="shared" si="191"/>
        <v>39362.620000000003</v>
      </c>
      <c r="L169" s="101">
        <v>72362.48</v>
      </c>
      <c r="M169" s="98">
        <f t="shared" si="102"/>
        <v>207432.74</v>
      </c>
      <c r="N169" s="98">
        <f t="shared" si="192"/>
        <v>0</v>
      </c>
      <c r="O169" s="98">
        <f t="shared" si="193"/>
        <v>0</v>
      </c>
      <c r="P169" s="109"/>
      <c r="Q169" s="99">
        <f t="shared" si="194"/>
        <v>0</v>
      </c>
      <c r="R169" s="99"/>
      <c r="S169" s="99"/>
      <c r="T169" s="98">
        <f t="shared" si="195"/>
        <v>0</v>
      </c>
      <c r="U169" s="98">
        <f t="shared" si="188"/>
        <v>0</v>
      </c>
      <c r="V169" s="98">
        <f t="shared" si="180"/>
        <v>0</v>
      </c>
    </row>
    <row r="170" spans="1:32" ht="24.6" hidden="1" customHeight="1" x14ac:dyDescent="0.25">
      <c r="A170" s="97"/>
      <c r="B170" s="87" t="s">
        <v>140</v>
      </c>
      <c r="C170" s="97"/>
      <c r="D170" s="630" t="s">
        <v>130</v>
      </c>
      <c r="E170" s="104">
        <v>0</v>
      </c>
      <c r="F170" s="104">
        <v>0</v>
      </c>
      <c r="G170" s="104">
        <f t="shared" si="190"/>
        <v>0</v>
      </c>
      <c r="H170" s="104">
        <v>0</v>
      </c>
      <c r="I170" s="104">
        <v>0</v>
      </c>
      <c r="J170" s="99">
        <v>95708.64</v>
      </c>
      <c r="K170" s="98">
        <f t="shared" si="191"/>
        <v>39362.620000000003</v>
      </c>
      <c r="L170" s="101">
        <v>72362.48</v>
      </c>
      <c r="M170" s="98">
        <f t="shared" si="102"/>
        <v>207433.74</v>
      </c>
      <c r="N170" s="98">
        <f t="shared" si="192"/>
        <v>0</v>
      </c>
      <c r="O170" s="98">
        <f t="shared" si="193"/>
        <v>0</v>
      </c>
      <c r="P170" s="109"/>
      <c r="Q170" s="99">
        <f t="shared" si="194"/>
        <v>0</v>
      </c>
      <c r="R170" s="99"/>
      <c r="S170" s="99"/>
      <c r="T170" s="98">
        <f t="shared" si="195"/>
        <v>0</v>
      </c>
      <c r="U170" s="98">
        <f t="shared" si="188"/>
        <v>0</v>
      </c>
      <c r="V170" s="98">
        <f t="shared" si="180"/>
        <v>0</v>
      </c>
    </row>
    <row r="171" spans="1:32" ht="110.4" customHeight="1" x14ac:dyDescent="0.25">
      <c r="A171" s="97"/>
      <c r="B171" s="97" t="s">
        <v>336</v>
      </c>
      <c r="C171" s="92" t="s">
        <v>610</v>
      </c>
      <c r="D171" s="630" t="s">
        <v>130</v>
      </c>
      <c r="E171" s="104">
        <v>20</v>
      </c>
      <c r="F171" s="580">
        <v>43</v>
      </c>
      <c r="G171" s="104">
        <v>43</v>
      </c>
      <c r="H171" s="104">
        <v>43</v>
      </c>
      <c r="I171" s="104">
        <v>43</v>
      </c>
      <c r="J171" s="99">
        <v>245948.56</v>
      </c>
      <c r="K171" s="98">
        <f>70240.51+15095.54*2</f>
        <v>100431.59</v>
      </c>
      <c r="L171" s="101">
        <v>72362.48</v>
      </c>
      <c r="M171" s="98">
        <f t="shared" si="102"/>
        <v>418742.63</v>
      </c>
      <c r="N171" s="99">
        <f t="shared" si="192"/>
        <v>10575788.08</v>
      </c>
      <c r="O171" s="98">
        <f>G171*K171-531349.72-203650.34-0.44</f>
        <v>3583557.8700000006</v>
      </c>
      <c r="P171" s="109"/>
      <c r="Q171" s="99">
        <f t="shared" si="194"/>
        <v>3111586.6399999997</v>
      </c>
      <c r="R171" s="99"/>
      <c r="S171" s="99"/>
      <c r="T171" s="98">
        <f t="shared" si="195"/>
        <v>17270932.59</v>
      </c>
      <c r="U171" s="98">
        <f t="shared" si="188"/>
        <v>17270932.59</v>
      </c>
      <c r="V171" s="98">
        <f t="shared" si="180"/>
        <v>17270932.59</v>
      </c>
    </row>
    <row r="172" spans="1:32" ht="62.4" customHeight="1" x14ac:dyDescent="0.25">
      <c r="A172" s="92" t="s">
        <v>133</v>
      </c>
      <c r="B172" s="97" t="s">
        <v>134</v>
      </c>
      <c r="C172" s="97" t="s">
        <v>54</v>
      </c>
      <c r="D172" s="630" t="s">
        <v>130</v>
      </c>
      <c r="E172" s="104">
        <f>E162+E165+E167+E163+E171+E166+E164</f>
        <v>183</v>
      </c>
      <c r="F172" s="674">
        <f>F162+F165+F167+F163+F171+F166+F164</f>
        <v>176</v>
      </c>
      <c r="G172" s="113">
        <f>G162+G165+G167+G163+G171+G166+G164</f>
        <v>182</v>
      </c>
      <c r="H172" s="113">
        <f t="shared" ref="H172:I172" si="196">H162+H165+H167+H163+H171+H166+H164</f>
        <v>182</v>
      </c>
      <c r="I172" s="113">
        <f t="shared" si="196"/>
        <v>182</v>
      </c>
      <c r="J172" s="99">
        <v>0</v>
      </c>
      <c r="K172" s="98">
        <v>0</v>
      </c>
      <c r="L172" s="101">
        <f>61511.06</f>
        <v>61511.06</v>
      </c>
      <c r="M172" s="98">
        <f t="shared" si="102"/>
        <v>61511.06</v>
      </c>
      <c r="N172" s="98">
        <f>G172*J172</f>
        <v>0</v>
      </c>
      <c r="O172" s="98">
        <f>G172*K172</f>
        <v>0</v>
      </c>
      <c r="P172" s="109"/>
      <c r="Q172" s="107">
        <f>G172*L172</f>
        <v>11195012.92</v>
      </c>
      <c r="R172" s="101"/>
      <c r="S172" s="101"/>
      <c r="T172" s="102">
        <f t="shared" si="179"/>
        <v>11195012.92</v>
      </c>
      <c r="U172" s="98">
        <f t="shared" si="188"/>
        <v>11195012.92</v>
      </c>
      <c r="V172" s="98">
        <f>U172</f>
        <v>11195012.92</v>
      </c>
    </row>
    <row r="173" spans="1:32" ht="27.6" customHeight="1" x14ac:dyDescent="0.25">
      <c r="A173" s="484" t="s">
        <v>469</v>
      </c>
      <c r="B173" s="97" t="s">
        <v>134</v>
      </c>
      <c r="C173" s="97" t="s">
        <v>135</v>
      </c>
      <c r="D173" s="630"/>
      <c r="E173" s="109"/>
      <c r="F173" s="104"/>
      <c r="G173" s="113">
        <f>G172</f>
        <v>182</v>
      </c>
      <c r="H173" s="113">
        <f>H172</f>
        <v>182</v>
      </c>
      <c r="I173" s="113">
        <f>I172</f>
        <v>182</v>
      </c>
      <c r="J173" s="99"/>
      <c r="K173" s="98"/>
      <c r="L173" s="101">
        <v>20437.68</v>
      </c>
      <c r="M173" s="98">
        <f t="shared" si="102"/>
        <v>20437.68</v>
      </c>
      <c r="N173" s="109"/>
      <c r="O173" s="98"/>
      <c r="P173" s="109"/>
      <c r="Q173" s="101"/>
      <c r="R173" s="101"/>
      <c r="S173" s="107">
        <f>G173*L173</f>
        <v>3719657.7600000002</v>
      </c>
      <c r="T173" s="102">
        <f>S173</f>
        <v>3719657.7600000002</v>
      </c>
      <c r="U173" s="98">
        <f t="shared" si="188"/>
        <v>3719657.7600000002</v>
      </c>
      <c r="V173" s="98">
        <f>U173</f>
        <v>3719657.7600000002</v>
      </c>
    </row>
    <row r="174" spans="1:32" ht="27.6" customHeight="1" x14ac:dyDescent="0.25">
      <c r="A174" s="883" t="s">
        <v>524</v>
      </c>
      <c r="B174" s="881" t="s">
        <v>519</v>
      </c>
      <c r="C174" s="662"/>
      <c r="D174" s="737" t="s">
        <v>24</v>
      </c>
      <c r="E174" s="738"/>
      <c r="F174" s="738">
        <v>20</v>
      </c>
      <c r="G174" s="739">
        <v>20</v>
      </c>
      <c r="H174" s="747">
        <v>0</v>
      </c>
      <c r="I174" s="747">
        <v>0</v>
      </c>
      <c r="J174" s="743">
        <v>0</v>
      </c>
      <c r="K174" s="741"/>
      <c r="L174" s="742"/>
      <c r="M174" s="741">
        <f>J174+K174+L174</f>
        <v>0</v>
      </c>
      <c r="N174" s="741">
        <v>0</v>
      </c>
      <c r="O174" s="741"/>
      <c r="P174" s="738"/>
      <c r="Q174" s="741"/>
      <c r="R174" s="741"/>
      <c r="S174" s="743"/>
      <c r="T174" s="743">
        <f>SUM(N174:Q174)</f>
        <v>0</v>
      </c>
      <c r="U174" s="743"/>
      <c r="V174" s="743"/>
    </row>
    <row r="175" spans="1:32" ht="27.6" customHeight="1" x14ac:dyDescent="0.25">
      <c r="A175" s="884"/>
      <c r="B175" s="882"/>
      <c r="C175" s="662"/>
      <c r="D175" s="744" t="s">
        <v>235</v>
      </c>
      <c r="E175" s="738">
        <v>0</v>
      </c>
      <c r="F175" s="738">
        <f>26*F174</f>
        <v>520</v>
      </c>
      <c r="G175" s="739">
        <f>17*2*G174</f>
        <v>680</v>
      </c>
      <c r="H175" s="747">
        <v>0</v>
      </c>
      <c r="I175" s="747">
        <v>0</v>
      </c>
      <c r="J175" s="740">
        <v>341.19</v>
      </c>
      <c r="K175" s="741"/>
      <c r="L175" s="742"/>
      <c r="M175" s="741">
        <f>J175+K175+L175</f>
        <v>341.19</v>
      </c>
      <c r="N175" s="740">
        <f>(G175*J175-263.85)+8330</f>
        <v>240075.35</v>
      </c>
      <c r="O175" s="741"/>
      <c r="P175" s="738"/>
      <c r="Q175" s="741"/>
      <c r="R175" s="741"/>
      <c r="S175" s="743"/>
      <c r="T175" s="740">
        <f>SUM(N175:Q175)</f>
        <v>240075.35</v>
      </c>
      <c r="U175" s="743">
        <f>H175*J175</f>
        <v>0</v>
      </c>
      <c r="V175" s="743">
        <f>I175*J175</f>
        <v>0</v>
      </c>
    </row>
    <row r="176" spans="1:32" ht="27.6" customHeight="1" x14ac:dyDescent="0.25">
      <c r="A176" s="681"/>
      <c r="B176" s="677"/>
      <c r="C176" s="420" t="s">
        <v>38</v>
      </c>
      <c r="D176" s="630"/>
      <c r="E176" s="109"/>
      <c r="F176" s="104">
        <v>20</v>
      </c>
      <c r="G176" s="108">
        <f>G174</f>
        <v>20</v>
      </c>
      <c r="H176" s="675">
        <f>H174</f>
        <v>0</v>
      </c>
      <c r="I176" s="675">
        <f>I174</f>
        <v>0</v>
      </c>
      <c r="J176" s="105" t="s">
        <v>26</v>
      </c>
      <c r="K176" s="98" t="s">
        <v>26</v>
      </c>
      <c r="L176" s="101" t="s">
        <v>26</v>
      </c>
      <c r="M176" s="99"/>
      <c r="N176" s="105"/>
      <c r="O176" s="99"/>
      <c r="P176" s="104"/>
      <c r="Q176" s="99"/>
      <c r="R176" s="99"/>
      <c r="S176" s="105"/>
      <c r="T176" s="107"/>
      <c r="U176" s="105"/>
      <c r="V176" s="105"/>
    </row>
    <row r="177" spans="1:23" ht="30.6" customHeight="1" x14ac:dyDescent="0.25">
      <c r="A177" s="622" t="s">
        <v>151</v>
      </c>
      <c r="B177" s="623"/>
      <c r="C177" s="623"/>
      <c r="D177" s="623"/>
      <c r="E177" s="623"/>
      <c r="F177" s="623"/>
      <c r="G177" s="649">
        <f>G173+G156+G144+G130+G98+G82+G67+G54+G40+G23</f>
        <v>1078</v>
      </c>
      <c r="H177" s="623"/>
      <c r="I177" s="623"/>
      <c r="J177" s="623"/>
      <c r="K177" s="623"/>
      <c r="L177" s="623"/>
      <c r="M177" s="624"/>
      <c r="N177" s="101">
        <f>N12+N26+N41+N55+N68+N86+N99+N134+N145+N160</f>
        <v>177238959.22999999</v>
      </c>
      <c r="O177" s="101">
        <f>O12+O26+O41+O55+O68+O86+O99+O134+O145+O160</f>
        <v>71777891.694999993</v>
      </c>
      <c r="P177" s="101">
        <f>P12+P26+P41+P55+P68+P86+P99+P134+P145+P160</f>
        <v>0</v>
      </c>
      <c r="Q177" s="107">
        <f>Q12+Q26+Q41+Q55+Q68+Q86+Q99+Q134+Q145+Q160</f>
        <v>155539310.44999999</v>
      </c>
      <c r="R177" s="101" t="e">
        <f>R12+R26+#REF!+R41+R55+R68+R86+R99+R134+R145+R160+1</f>
        <v>#REF!</v>
      </c>
      <c r="S177" s="107">
        <f>S12+S26+S41+S55+S68+S86+S99+S134+S145+S160</f>
        <v>22031819.040000003</v>
      </c>
      <c r="T177" s="101">
        <f>T12+T26+T41+T55+T68+T86+T99+T134+T145+T160</f>
        <v>426587982.33499992</v>
      </c>
      <c r="U177" s="102">
        <f>U12+U26+U41+U55+U68+U86+U99+U134+U145+U160</f>
        <v>426497368.38499999</v>
      </c>
      <c r="V177" s="102">
        <f>V12+V26+V41+V55+V68+V86+V99+V134+V145+V160</f>
        <v>426497368.38499999</v>
      </c>
      <c r="W177" s="93"/>
    </row>
    <row r="178" spans="1:23" ht="15" customHeight="1" x14ac:dyDescent="0.25">
      <c r="A178" s="83" t="s">
        <v>152</v>
      </c>
      <c r="C178" s="120"/>
      <c r="D178" s="121"/>
      <c r="E178" s="121"/>
      <c r="F178" s="120"/>
      <c r="G178" s="120"/>
      <c r="H178" s="121"/>
      <c r="I178" s="121"/>
      <c r="J178" s="120"/>
      <c r="K178" s="121"/>
      <c r="L178" s="120"/>
      <c r="M178" s="121"/>
      <c r="N178" s="122"/>
      <c r="O178" s="122"/>
      <c r="P178" s="122"/>
      <c r="Q178" s="123" t="e">
        <f>#REF!+#REF!+#REF!+#REF!+#REF!+#REF!+#REF!+#REF!+#REF!+#REF!+#REF!</f>
        <v>#REF!</v>
      </c>
      <c r="R178" s="124"/>
      <c r="S178" s="124"/>
      <c r="T178" s="125" t="e">
        <f>#REF!+#REF!+#REF!+#REF!+#REF!+#REF!+#REF!+#REF!+#REF!+#REF!+#REF!</f>
        <v>#REF!</v>
      </c>
      <c r="U178" s="121"/>
      <c r="V178" s="122"/>
    </row>
    <row r="179" spans="1:23" ht="16.2" customHeight="1" x14ac:dyDescent="0.25">
      <c r="A179" s="83" t="s">
        <v>78</v>
      </c>
      <c r="N179" s="126"/>
      <c r="P179" s="127"/>
      <c r="Q179" s="93"/>
      <c r="U179" s="127"/>
      <c r="V179" s="122"/>
    </row>
    <row r="183" spans="1:23" ht="21" customHeight="1" x14ac:dyDescent="0.25"/>
    <row r="186" spans="1:23" hidden="1" x14ac:dyDescent="0.25">
      <c r="M186" s="770" t="s">
        <v>587</v>
      </c>
      <c r="N186" s="771">
        <f>N175+N158+N132+N84</f>
        <v>833000</v>
      </c>
      <c r="Q186" s="93">
        <f>Q13+Q27+Q42+Q56+Q69+Q87+Q100+Q135+Q146+Q161-1.45</f>
        <v>81752835.099999994</v>
      </c>
      <c r="S186" s="83" t="s">
        <v>586</v>
      </c>
    </row>
    <row r="187" spans="1:23" hidden="1" x14ac:dyDescent="0.25">
      <c r="Q187" s="93">
        <f>Q22+Q39+Q53+Q66+Q81+Q97+Q129+Q143+Q155+Q172</f>
        <v>73786475.820000008</v>
      </c>
      <c r="S187" s="83" t="s">
        <v>585</v>
      </c>
    </row>
    <row r="188" spans="1:23" hidden="1" x14ac:dyDescent="0.25">
      <c r="Q188" s="93">
        <f>Q187+Q186</f>
        <v>155539310.92000002</v>
      </c>
    </row>
    <row r="189" spans="1:23" hidden="1" x14ac:dyDescent="0.25">
      <c r="S189" s="93"/>
    </row>
    <row r="190" spans="1:23" hidden="1" x14ac:dyDescent="0.25">
      <c r="Q190" s="93">
        <f>Q188-Q177</f>
        <v>0.47000002861022949</v>
      </c>
    </row>
  </sheetData>
  <mergeCells count="37">
    <mergeCell ref="A131:A132"/>
    <mergeCell ref="B131:B132"/>
    <mergeCell ref="A157:A158"/>
    <mergeCell ref="B157:B158"/>
    <mergeCell ref="A174:A175"/>
    <mergeCell ref="B174:B175"/>
    <mergeCell ref="C149:C154"/>
    <mergeCell ref="C32:C35"/>
    <mergeCell ref="C43:C44"/>
    <mergeCell ref="C45:C46"/>
    <mergeCell ref="C47:C49"/>
    <mergeCell ref="C59:C63"/>
    <mergeCell ref="C70:C71"/>
    <mergeCell ref="C79:C80"/>
    <mergeCell ref="C73:C75"/>
    <mergeCell ref="C90:C92"/>
    <mergeCell ref="C103:C112"/>
    <mergeCell ref="C77:C78"/>
    <mergeCell ref="C95:C96"/>
    <mergeCell ref="C113:C116"/>
    <mergeCell ref="C117:C118"/>
    <mergeCell ref="C163:C167"/>
    <mergeCell ref="C101:C102"/>
    <mergeCell ref="C119:C124"/>
    <mergeCell ref="C125:C128"/>
    <mergeCell ref="A5:V5"/>
    <mergeCell ref="C16:C21"/>
    <mergeCell ref="C14:C15"/>
    <mergeCell ref="C28:C29"/>
    <mergeCell ref="C30:C31"/>
    <mergeCell ref="E9:I9"/>
    <mergeCell ref="J9:M9"/>
    <mergeCell ref="N9:V9"/>
    <mergeCell ref="B83:B84"/>
    <mergeCell ref="A83:A84"/>
    <mergeCell ref="N10:T10"/>
    <mergeCell ref="C138:C142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zoomScale="81" zoomScaleNormal="81" workbookViewId="0">
      <pane xSplit="1" ySplit="10" topLeftCell="R11" activePane="bottomRight" state="frozen"/>
      <selection pane="topRight" activeCell="B1" sqref="B1"/>
      <selection pane="bottomLeft" activeCell="A11" sqref="A11"/>
      <selection pane="bottomRight" activeCell="AC21" sqref="AC21"/>
    </sheetView>
  </sheetViews>
  <sheetFormatPr defaultColWidth="8.88671875" defaultRowHeight="13.8" x14ac:dyDescent="0.25"/>
  <cols>
    <col min="1" max="1" width="17.5546875" style="48" customWidth="1"/>
    <col min="2" max="2" width="14.5546875" style="48" customWidth="1"/>
    <col min="3" max="3" width="8.5546875" style="48" hidden="1" customWidth="1"/>
    <col min="4" max="4" width="14.44140625" style="48" customWidth="1"/>
    <col min="5" max="5" width="14.6640625" style="48" customWidth="1"/>
    <col min="6" max="6" width="15.5546875" style="48" customWidth="1"/>
    <col min="7" max="8" width="16.77734375" style="128" customWidth="1"/>
    <col min="9" max="9" width="16.77734375" style="48" customWidth="1"/>
    <col min="10" max="10" width="15" style="48" customWidth="1"/>
    <col min="11" max="12" width="14.88671875" style="48" customWidth="1"/>
    <col min="13" max="13" width="16.33203125" style="48" customWidth="1"/>
    <col min="14" max="14" width="15.6640625" style="48" customWidth="1"/>
    <col min="15" max="15" width="0" style="48" hidden="1" customWidth="1"/>
    <col min="16" max="16" width="8.88671875" style="49"/>
    <col min="17" max="17" width="0" style="49" hidden="1" customWidth="1"/>
    <col min="18" max="19" width="8.88671875" style="49"/>
    <col min="20" max="20" width="15.109375" style="48" customWidth="1"/>
    <col min="21" max="21" width="12.21875" style="48" customWidth="1"/>
    <col min="22" max="22" width="13.6640625" style="48" customWidth="1"/>
    <col min="23" max="25" width="14.6640625" style="48" customWidth="1"/>
    <col min="26" max="26" width="16.6640625" style="48" customWidth="1"/>
    <col min="27" max="27" width="15.5546875" style="48" customWidth="1"/>
    <col min="28" max="28" width="14.88671875" style="48" customWidth="1"/>
    <col min="29" max="29" width="16.6640625" style="48" customWidth="1"/>
    <col min="30" max="30" width="17.5546875" style="128" customWidth="1"/>
    <col min="31" max="31" width="14" style="48" hidden="1" customWidth="1"/>
    <col min="32" max="33" width="15.6640625" style="48" hidden="1" customWidth="1"/>
    <col min="34" max="34" width="17.33203125" style="48" hidden="1" customWidth="1"/>
    <col min="35" max="35" width="17.88671875" style="48" hidden="1" customWidth="1"/>
    <col min="36" max="36" width="17.33203125" style="48" customWidth="1"/>
    <col min="37" max="37" width="18" style="48" customWidth="1"/>
    <col min="38" max="38" width="17.6640625" style="48" hidden="1" customWidth="1"/>
    <col min="39" max="39" width="12.88671875" style="48" hidden="1" customWidth="1"/>
    <col min="40" max="40" width="16.6640625" style="48" customWidth="1"/>
    <col min="41" max="41" width="12.5546875" style="48" hidden="1" customWidth="1"/>
    <col min="42" max="16384" width="8.88671875" style="48"/>
  </cols>
  <sheetData>
    <row r="2" spans="1:46" x14ac:dyDescent="0.25">
      <c r="AB2" s="858" t="s">
        <v>88</v>
      </c>
      <c r="AC2" s="858"/>
    </row>
    <row r="3" spans="1:46" x14ac:dyDescent="0.25">
      <c r="AB3" s="859" t="s">
        <v>641</v>
      </c>
      <c r="AC3" s="859"/>
    </row>
    <row r="4" spans="1:46" x14ac:dyDescent="0.25">
      <c r="A4" s="129"/>
      <c r="B4" s="129"/>
      <c r="C4" s="129"/>
      <c r="D4" s="129"/>
      <c r="E4" s="129"/>
      <c r="F4" s="129"/>
      <c r="G4" s="130"/>
      <c r="H4" s="130"/>
      <c r="I4" s="129"/>
      <c r="J4" s="129"/>
      <c r="K4" s="129"/>
      <c r="L4" s="129"/>
      <c r="M4" s="129"/>
      <c r="N4" s="129"/>
      <c r="O4" s="129"/>
      <c r="P4" s="131"/>
      <c r="Q4" s="131"/>
      <c r="R4" s="131"/>
      <c r="S4" s="131"/>
      <c r="T4" s="129"/>
      <c r="U4" s="129"/>
      <c r="V4" s="129"/>
      <c r="W4" s="129"/>
      <c r="X4" s="129"/>
      <c r="Y4" s="129"/>
      <c r="AD4" s="903"/>
      <c r="AE4" s="903"/>
      <c r="AF4" s="903"/>
      <c r="AG4" s="903"/>
      <c r="AH4" s="903"/>
      <c r="AI4" s="903"/>
      <c r="AJ4" s="903"/>
    </row>
    <row r="5" spans="1:46" ht="18" x14ac:dyDescent="0.35">
      <c r="A5" s="904" t="s">
        <v>575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AC5" s="75"/>
      <c r="AD5" s="48"/>
    </row>
    <row r="6" spans="1:46" x14ac:dyDescent="0.25">
      <c r="A6" s="905" t="s">
        <v>153</v>
      </c>
      <c r="B6" s="905"/>
      <c r="C6" s="905"/>
      <c r="D6" s="905"/>
      <c r="E6" s="905"/>
      <c r="F6" s="132"/>
      <c r="G6" s="133"/>
      <c r="H6" s="133"/>
      <c r="I6" s="132"/>
      <c r="J6" s="132"/>
      <c r="K6" s="132"/>
      <c r="L6" s="132"/>
      <c r="M6" s="132"/>
      <c r="N6" s="134"/>
      <c r="O6" s="134"/>
      <c r="P6" s="135"/>
      <c r="Q6" s="135"/>
      <c r="R6" s="135"/>
      <c r="S6" s="135"/>
      <c r="T6" s="132"/>
      <c r="U6" s="132"/>
      <c r="V6" s="132"/>
      <c r="W6" s="132"/>
      <c r="X6" s="132"/>
      <c r="Y6" s="134"/>
      <c r="Z6" s="132"/>
      <c r="AA6" s="132"/>
      <c r="AB6" s="132"/>
      <c r="AC6" s="132"/>
      <c r="AD6" s="133"/>
    </row>
    <row r="7" spans="1:46" ht="78" customHeight="1" x14ac:dyDescent="0.25">
      <c r="A7" s="901" t="s">
        <v>2</v>
      </c>
      <c r="B7" s="914" t="s">
        <v>8</v>
      </c>
      <c r="C7" s="918"/>
      <c r="D7" s="918"/>
      <c r="E7" s="915"/>
      <c r="F7" s="906" t="s">
        <v>154</v>
      </c>
      <c r="G7" s="914" t="s">
        <v>155</v>
      </c>
      <c r="H7" s="918"/>
      <c r="I7" s="918"/>
      <c r="J7" s="918"/>
      <c r="K7" s="918"/>
      <c r="L7" s="918"/>
      <c r="M7" s="918"/>
      <c r="N7" s="918"/>
      <c r="O7" s="136"/>
      <c r="P7" s="848" t="s">
        <v>576</v>
      </c>
      <c r="Q7" s="849"/>
      <c r="R7" s="849"/>
      <c r="S7" s="850"/>
      <c r="T7" s="914" t="s">
        <v>341</v>
      </c>
      <c r="U7" s="918"/>
      <c r="V7" s="918"/>
      <c r="W7" s="918"/>
      <c r="X7" s="918"/>
      <c r="Y7" s="918"/>
      <c r="Z7" s="918"/>
      <c r="AA7" s="918"/>
      <c r="AB7" s="915"/>
      <c r="AC7" s="897" t="s">
        <v>169</v>
      </c>
      <c r="AD7" s="137" t="s">
        <v>341</v>
      </c>
      <c r="AE7" s="896" t="s">
        <v>137</v>
      </c>
      <c r="AF7" s="896" t="s">
        <v>128</v>
      </c>
      <c r="AG7" s="911" t="s">
        <v>156</v>
      </c>
      <c r="AH7" s="911" t="s">
        <v>157</v>
      </c>
      <c r="AI7" s="896" t="s">
        <v>2</v>
      </c>
      <c r="AJ7" s="138" t="s">
        <v>440</v>
      </c>
      <c r="AK7" s="138" t="s">
        <v>577</v>
      </c>
      <c r="AL7" s="901" t="s">
        <v>2</v>
      </c>
      <c r="AM7" s="139" t="s">
        <v>592</v>
      </c>
      <c r="AN7" s="139"/>
      <c r="AO7" s="139"/>
      <c r="AP7" s="139"/>
      <c r="AQ7" s="139"/>
      <c r="AR7" s="139"/>
      <c r="AS7" s="139"/>
    </row>
    <row r="8" spans="1:46" ht="31.2" customHeight="1" x14ac:dyDescent="0.25">
      <c r="A8" s="902"/>
      <c r="B8" s="495"/>
      <c r="C8" s="727"/>
      <c r="D8" s="495"/>
      <c r="E8" s="495"/>
      <c r="F8" s="906"/>
      <c r="G8" s="914" t="s">
        <v>158</v>
      </c>
      <c r="H8" s="918"/>
      <c r="I8" s="915"/>
      <c r="J8" s="902" t="s">
        <v>159</v>
      </c>
      <c r="K8" s="902"/>
      <c r="L8" s="902"/>
      <c r="M8" s="902"/>
      <c r="N8" s="495"/>
      <c r="O8" s="496"/>
      <c r="T8" s="916" t="s">
        <v>308</v>
      </c>
      <c r="U8" s="728"/>
      <c r="V8" s="916" t="s">
        <v>307</v>
      </c>
      <c r="W8" s="916" t="s">
        <v>168</v>
      </c>
      <c r="X8" s="914" t="s">
        <v>290</v>
      </c>
      <c r="Y8" s="915"/>
      <c r="Z8" s="910" t="s">
        <v>306</v>
      </c>
      <c r="AA8" s="908" t="s">
        <v>291</v>
      </c>
      <c r="AB8" s="909"/>
      <c r="AC8" s="898"/>
      <c r="AD8" s="140"/>
      <c r="AE8" s="896"/>
      <c r="AF8" s="896"/>
      <c r="AG8" s="912"/>
      <c r="AH8" s="912"/>
      <c r="AI8" s="896"/>
      <c r="AJ8" s="344"/>
      <c r="AK8" s="141"/>
      <c r="AL8" s="902"/>
      <c r="AM8" s="142"/>
    </row>
    <row r="9" spans="1:46" ht="134.4" customHeight="1" x14ac:dyDescent="0.25">
      <c r="A9" s="902"/>
      <c r="B9" s="138" t="s">
        <v>128</v>
      </c>
      <c r="C9" s="58" t="s">
        <v>550</v>
      </c>
      <c r="D9" s="138" t="s">
        <v>160</v>
      </c>
      <c r="E9" s="138" t="s">
        <v>161</v>
      </c>
      <c r="F9" s="907"/>
      <c r="G9" s="140" t="s">
        <v>162</v>
      </c>
      <c r="H9" s="58" t="s">
        <v>550</v>
      </c>
      <c r="I9" s="138" t="s">
        <v>163</v>
      </c>
      <c r="J9" s="339" t="s">
        <v>287</v>
      </c>
      <c r="K9" s="339" t="s">
        <v>164</v>
      </c>
      <c r="L9" s="63" t="s">
        <v>288</v>
      </c>
      <c r="M9" s="63" t="s">
        <v>289</v>
      </c>
      <c r="N9" s="79" t="s">
        <v>9</v>
      </c>
      <c r="O9" s="143" t="s">
        <v>101</v>
      </c>
      <c r="P9" s="63" t="s">
        <v>165</v>
      </c>
      <c r="Q9" s="729" t="s">
        <v>588</v>
      </c>
      <c r="R9" s="144" t="s">
        <v>166</v>
      </c>
      <c r="S9" s="63" t="s">
        <v>167</v>
      </c>
      <c r="T9" s="917"/>
      <c r="U9" s="59" t="s">
        <v>551</v>
      </c>
      <c r="V9" s="917"/>
      <c r="W9" s="917"/>
      <c r="X9" s="339" t="s">
        <v>287</v>
      </c>
      <c r="Y9" s="343" t="s">
        <v>292</v>
      </c>
      <c r="Z9" s="901"/>
      <c r="AA9" s="363" t="s">
        <v>128</v>
      </c>
      <c r="AB9" s="363" t="s">
        <v>160</v>
      </c>
      <c r="AC9" s="899"/>
      <c r="AD9" s="140" t="s">
        <v>170</v>
      </c>
      <c r="AE9" s="896"/>
      <c r="AF9" s="896"/>
      <c r="AG9" s="913"/>
      <c r="AH9" s="913"/>
      <c r="AI9" s="896"/>
      <c r="AJ9" s="145" t="s">
        <v>170</v>
      </c>
      <c r="AK9" s="145" t="s">
        <v>170</v>
      </c>
      <c r="AL9" s="902"/>
      <c r="AT9" s="146"/>
    </row>
    <row r="10" spans="1:46" ht="31.2" customHeight="1" x14ac:dyDescent="0.25">
      <c r="A10" s="138" t="s">
        <v>18</v>
      </c>
      <c r="B10" s="63" t="s">
        <v>21</v>
      </c>
      <c r="C10" s="63" t="s">
        <v>21</v>
      </c>
      <c r="D10" s="63" t="s">
        <v>21</v>
      </c>
      <c r="E10" s="63" t="s">
        <v>21</v>
      </c>
      <c r="F10" s="63" t="s">
        <v>21</v>
      </c>
      <c r="G10" s="140" t="s">
        <v>21</v>
      </c>
      <c r="H10" s="140"/>
      <c r="I10" s="63" t="s">
        <v>21</v>
      </c>
      <c r="J10" s="63" t="s">
        <v>21</v>
      </c>
      <c r="K10" s="63" t="s">
        <v>21</v>
      </c>
      <c r="L10" s="63" t="s">
        <v>21</v>
      </c>
      <c r="M10" s="63" t="s">
        <v>21</v>
      </c>
      <c r="N10" s="63" t="s">
        <v>21</v>
      </c>
      <c r="O10" s="63" t="s">
        <v>21</v>
      </c>
      <c r="P10" s="63"/>
      <c r="Q10" s="63"/>
      <c r="R10" s="63"/>
      <c r="S10" s="63"/>
      <c r="T10" s="63" t="s">
        <v>21</v>
      </c>
      <c r="U10" s="63" t="s">
        <v>21</v>
      </c>
      <c r="V10" s="63" t="s">
        <v>21</v>
      </c>
      <c r="W10" s="63" t="s">
        <v>21</v>
      </c>
      <c r="X10" s="63" t="s">
        <v>21</v>
      </c>
      <c r="Y10" s="63" t="s">
        <v>21</v>
      </c>
      <c r="Z10" s="63" t="s">
        <v>21</v>
      </c>
      <c r="AA10" s="363" t="s">
        <v>21</v>
      </c>
      <c r="AB10" s="363" t="s">
        <v>21</v>
      </c>
      <c r="AC10" s="63" t="s">
        <v>21</v>
      </c>
      <c r="AD10" s="140" t="s">
        <v>21</v>
      </c>
      <c r="AE10" s="63" t="s">
        <v>21</v>
      </c>
      <c r="AF10" s="63" t="s">
        <v>21</v>
      </c>
      <c r="AG10" s="63" t="s">
        <v>21</v>
      </c>
      <c r="AH10" s="63" t="s">
        <v>21</v>
      </c>
      <c r="AI10" s="63" t="s">
        <v>21</v>
      </c>
      <c r="AJ10" s="63" t="s">
        <v>21</v>
      </c>
      <c r="AK10" s="63" t="s">
        <v>21</v>
      </c>
      <c r="AL10" s="495" t="s">
        <v>18</v>
      </c>
      <c r="AM10" s="147"/>
      <c r="AT10" s="129"/>
    </row>
    <row r="11" spans="1:46" ht="26.4" customHeight="1" x14ac:dyDescent="0.25">
      <c r="A11" s="148" t="s">
        <v>126</v>
      </c>
      <c r="B11" s="149">
        <f>'прилож.3-сады'!T13</f>
        <v>28037957.124999996</v>
      </c>
      <c r="C11" s="149">
        <v>0</v>
      </c>
      <c r="D11" s="149">
        <f>'прилож.3-сады'!Q22</f>
        <v>12767502.379999999</v>
      </c>
      <c r="E11" s="149">
        <f>'прилож.3-сады'!S23</f>
        <v>1757640.48</v>
      </c>
      <c r="F11" s="153">
        <f>SUM(B11:E11)</f>
        <v>42563099.984999992</v>
      </c>
      <c r="G11" s="149">
        <f>'прилож.3-сады'!N13</f>
        <v>12458473.439999999</v>
      </c>
      <c r="H11" s="149">
        <v>0</v>
      </c>
      <c r="I11" s="149">
        <f>'прилож.3-сады'!O12</f>
        <v>5610173.2949999999</v>
      </c>
      <c r="J11" s="150">
        <f>'прилож.3-сады'!Q13</f>
        <v>9969310.3900000006</v>
      </c>
      <c r="K11" s="150">
        <f>'прилож.3-сады'!Q22</f>
        <v>12767502.379999999</v>
      </c>
      <c r="L11" s="150">
        <f>SUM(J11:K11)</f>
        <v>22736812.77</v>
      </c>
      <c r="M11" s="149">
        <f>'прилож.3-сады'!S23</f>
        <v>1757640.48</v>
      </c>
      <c r="N11" s="153">
        <f>G11+I11+L11+M11</f>
        <v>42563099.984999992</v>
      </c>
      <c r="O11" s="149"/>
      <c r="P11" s="150">
        <f>T11/G11</f>
        <v>1.0463739448322009</v>
      </c>
      <c r="Q11" s="150">
        <v>0</v>
      </c>
      <c r="R11" s="150">
        <f>V11/I11</f>
        <v>1.0814557199877013</v>
      </c>
      <c r="S11" s="150">
        <f>W11/L11</f>
        <v>0.9758614452451243</v>
      </c>
      <c r="T11" s="149">
        <f>12259917+776305</f>
        <v>13036222</v>
      </c>
      <c r="U11" s="149">
        <v>0</v>
      </c>
      <c r="V11" s="149">
        <f>5138992+928162</f>
        <v>6067154</v>
      </c>
      <c r="W11" s="150">
        <f>18953169.22+3234809.75</f>
        <v>22187978.969999999</v>
      </c>
      <c r="X11" s="150">
        <f>J11*S11</f>
        <v>9728665.6452826336</v>
      </c>
      <c r="Y11" s="637">
        <f>K11*S11</f>
        <v>12459313.324717363</v>
      </c>
      <c r="Z11" s="499">
        <f t="shared" ref="Z11:Z18" si="0">T11+V11+W11</f>
        <v>41291354.969999999</v>
      </c>
      <c r="AA11" s="364">
        <f>T11+V11+X11</f>
        <v>28832041.645282634</v>
      </c>
      <c r="AB11" s="364">
        <f>Y11</f>
        <v>12459313.324717363</v>
      </c>
      <c r="AC11" s="637">
        <f>1716765.12+20437.68</f>
        <v>1737202.8</v>
      </c>
      <c r="AD11" s="149">
        <f t="shared" ref="AD11:AD12" si="1">Z11</f>
        <v>41291354.969999999</v>
      </c>
      <c r="AE11" s="149">
        <f>989605.4+36447.59+1328250</f>
        <v>2354302.9900000002</v>
      </c>
      <c r="AF11" s="149">
        <f t="shared" ref="AF11:AF20" si="2">T11+V11+W11-Y11</f>
        <v>28832041.645282634</v>
      </c>
      <c r="AG11" s="535" t="e">
        <f>AE11/#REF!</f>
        <v>#REF!</v>
      </c>
      <c r="AH11" s="535">
        <f t="shared" ref="AH11:AH20" si="3">AF11/B11</f>
        <v>1.0283217681210659</v>
      </c>
      <c r="AI11" s="536" t="s">
        <v>126</v>
      </c>
      <c r="AJ11" s="149">
        <f>36352078.22-185959</f>
        <v>36166119.219999999</v>
      </c>
      <c r="AK11" s="149">
        <f>AJ11</f>
        <v>36166119.219999999</v>
      </c>
      <c r="AL11" s="148" t="s">
        <v>126</v>
      </c>
      <c r="AM11" s="773">
        <f>L11-W11</f>
        <v>548833.80000000075</v>
      </c>
      <c r="AN11" s="75"/>
      <c r="AO11" s="664">
        <v>1285143.75</v>
      </c>
      <c r="AT11" s="151"/>
    </row>
    <row r="12" spans="1:46" ht="27" customHeight="1" x14ac:dyDescent="0.25">
      <c r="A12" s="148" t="s">
        <v>136</v>
      </c>
      <c r="B12" s="149">
        <f>'прилож.3-сады'!T27</f>
        <v>28513895.194999997</v>
      </c>
      <c r="C12" s="149">
        <v>0</v>
      </c>
      <c r="D12" s="149">
        <f>'прилож.3-сады'!Q39</f>
        <v>4797862.6800000006</v>
      </c>
      <c r="E12" s="149">
        <f>'прилож.3-сады'!S40</f>
        <v>1594139.04</v>
      </c>
      <c r="F12" s="153">
        <f>SUM(B12:E12)</f>
        <v>34905896.914999999</v>
      </c>
      <c r="G12" s="149">
        <f>'прилож.3-сады'!N27</f>
        <v>16312940.530000001</v>
      </c>
      <c r="H12" s="149">
        <v>0</v>
      </c>
      <c r="I12" s="149">
        <f>'прилож.3-сады'!O27</f>
        <v>6556681.2249999978</v>
      </c>
      <c r="J12" s="150">
        <f>'прилож.3-сады'!Q27</f>
        <v>5644273.4399999995</v>
      </c>
      <c r="K12" s="150">
        <f>'прилож.3-сады'!Q39</f>
        <v>4797862.6800000006</v>
      </c>
      <c r="L12" s="150">
        <f t="shared" ref="L12:L20" si="4">SUM(J12:K12)</f>
        <v>10442136.120000001</v>
      </c>
      <c r="M12" s="149">
        <f>'прилож.3-сады'!S40</f>
        <v>1594139.04</v>
      </c>
      <c r="N12" s="153">
        <f>G12+I12+L12+M12</f>
        <v>34905896.914999999</v>
      </c>
      <c r="O12" s="149"/>
      <c r="P12" s="150">
        <f t="shared" ref="P12:P21" si="5">T12/G12</f>
        <v>1.0038329367954852</v>
      </c>
      <c r="Q12" s="150">
        <v>0</v>
      </c>
      <c r="R12" s="150">
        <f>V12/I12</f>
        <v>1.0704281265404971</v>
      </c>
      <c r="S12" s="150">
        <f t="shared" ref="S12:S21" si="6">W12/L12</f>
        <v>1.1450294855953285</v>
      </c>
      <c r="T12" s="149">
        <f>14451204+1924263</f>
        <v>16375467</v>
      </c>
      <c r="U12" s="149">
        <v>0</v>
      </c>
      <c r="V12" s="149">
        <f>6160339+858117</f>
        <v>7018456</v>
      </c>
      <c r="W12" s="150">
        <f>9323928+2632625.75</f>
        <v>11956553.75</v>
      </c>
      <c r="X12" s="150">
        <f t="shared" ref="X12:X20" si="7">J12*S12</f>
        <v>6462859.5135625741</v>
      </c>
      <c r="Y12" s="637">
        <f>K12*S12</f>
        <v>5493694.236437425</v>
      </c>
      <c r="Z12" s="499">
        <f t="shared" si="0"/>
        <v>35350476.75</v>
      </c>
      <c r="AA12" s="364">
        <f t="shared" ref="AA12:AA18" si="8">T12+V12+X12</f>
        <v>29856782.513562575</v>
      </c>
      <c r="AB12" s="364">
        <f t="shared" ref="AB12:AB20" si="9">Y12</f>
        <v>5493694.236437425</v>
      </c>
      <c r="AC12" s="637">
        <f>1512388.32+61313.04</f>
        <v>1573701.36</v>
      </c>
      <c r="AD12" s="149">
        <f t="shared" si="1"/>
        <v>35350476.75</v>
      </c>
      <c r="AE12" s="149">
        <f>810487.3+1293600</f>
        <v>2104087.2999999998</v>
      </c>
      <c r="AF12" s="149">
        <f t="shared" si="2"/>
        <v>29856782.513562575</v>
      </c>
      <c r="AG12" s="535" t="e">
        <f>AE12/#REF!</f>
        <v>#REF!</v>
      </c>
      <c r="AH12" s="535">
        <f t="shared" si="3"/>
        <v>1.0470958916478748</v>
      </c>
      <c r="AI12" s="536" t="s">
        <v>136</v>
      </c>
      <c r="AJ12" s="149">
        <f>29935471+92417</f>
        <v>30027888</v>
      </c>
      <c r="AK12" s="149">
        <f t="shared" ref="AK12:AK20" si="10">AJ12</f>
        <v>30027888</v>
      </c>
      <c r="AL12" s="148" t="s">
        <v>136</v>
      </c>
      <c r="AM12" s="773">
        <f t="shared" ref="AM12:AM20" si="11">L12-W12</f>
        <v>-1514417.629999999</v>
      </c>
      <c r="AN12" s="75"/>
      <c r="AO12" s="664">
        <v>1353684.75</v>
      </c>
      <c r="AT12" s="151"/>
    </row>
    <row r="13" spans="1:46" ht="27" customHeight="1" x14ac:dyDescent="0.25">
      <c r="A13" s="148" t="s">
        <v>141</v>
      </c>
      <c r="B13" s="149">
        <f>'прилож.3-сады'!T42</f>
        <v>31475207.670000002</v>
      </c>
      <c r="C13" s="149">
        <v>0</v>
      </c>
      <c r="D13" s="149">
        <f>'прилож.3-сады'!Q53</f>
        <v>5905061.7599999998</v>
      </c>
      <c r="E13" s="149">
        <f>'прилож.3-сады'!S54</f>
        <v>1962017.28</v>
      </c>
      <c r="F13" s="153">
        <f t="shared" ref="F13:F18" si="12">SUM(B13:E13)</f>
        <v>39342286.710000001</v>
      </c>
      <c r="G13" s="149">
        <f>'прилож.3-сады'!N42</f>
        <v>17688145.350000001</v>
      </c>
      <c r="H13" s="149">
        <v>0</v>
      </c>
      <c r="I13" s="149">
        <f>'прилож.3-сады'!O42</f>
        <v>6840265.2400000002</v>
      </c>
      <c r="J13" s="650">
        <f>'прилож.3-сады'!Q42</f>
        <v>6946797.0800000001</v>
      </c>
      <c r="K13" s="150">
        <f>'прилож.3-сады'!Q53</f>
        <v>5905061.7599999998</v>
      </c>
      <c r="L13" s="150">
        <f t="shared" si="4"/>
        <v>12851858.84</v>
      </c>
      <c r="M13" s="149">
        <f>'прилож.3-сады'!S54</f>
        <v>1962017.28</v>
      </c>
      <c r="N13" s="153">
        <f>G13+I13+L13+M13</f>
        <v>39342286.710000008</v>
      </c>
      <c r="O13" s="149"/>
      <c r="P13" s="150">
        <f t="shared" si="5"/>
        <v>1.0121611760726512</v>
      </c>
      <c r="Q13" s="150">
        <v>0</v>
      </c>
      <c r="R13" s="150">
        <f t="shared" ref="R13:R21" si="13">V13/I13</f>
        <v>1.0397905271872177</v>
      </c>
      <c r="S13" s="150">
        <f t="shared" si="6"/>
        <v>1.5804486512707447</v>
      </c>
      <c r="T13" s="149">
        <f>17135497+767757</f>
        <v>17903254</v>
      </c>
      <c r="U13" s="149">
        <v>0</v>
      </c>
      <c r="V13" s="149">
        <f>6574537+537906</f>
        <v>7112443</v>
      </c>
      <c r="W13" s="150">
        <f>12059098+8252604.97</f>
        <v>20311702.969999999</v>
      </c>
      <c r="X13" s="150">
        <f>J13*S13</f>
        <v>10979056.075737547</v>
      </c>
      <c r="Y13" s="637">
        <f>K13*S13</f>
        <v>9332646.8942624498</v>
      </c>
      <c r="Z13" s="499">
        <f>T13+V13+W13</f>
        <v>45327399.969999999</v>
      </c>
      <c r="AA13" s="364">
        <f>T13+V13+X13</f>
        <v>35994753.075737551</v>
      </c>
      <c r="AB13" s="364">
        <f t="shared" si="9"/>
        <v>9332646.8942624498</v>
      </c>
      <c r="AC13" s="637">
        <f>1982454.96-122626.08</f>
        <v>1859828.88</v>
      </c>
      <c r="AD13" s="149">
        <f>Z13</f>
        <v>45327399.969999999</v>
      </c>
      <c r="AE13" s="149">
        <f>2299256.17+2483250</f>
        <v>4782506.17</v>
      </c>
      <c r="AF13" s="149">
        <f t="shared" si="2"/>
        <v>35994753.075737551</v>
      </c>
      <c r="AG13" s="535" t="e">
        <f>AE13/#REF!</f>
        <v>#REF!</v>
      </c>
      <c r="AH13" s="535">
        <f t="shared" si="3"/>
        <v>1.1435906461085963</v>
      </c>
      <c r="AI13" s="536" t="s">
        <v>141</v>
      </c>
      <c r="AJ13" s="149">
        <f>35769132+4372133</f>
        <v>40141265</v>
      </c>
      <c r="AK13" s="149">
        <f t="shared" si="10"/>
        <v>40141265</v>
      </c>
      <c r="AL13" s="148" t="s">
        <v>141</v>
      </c>
      <c r="AM13" s="773">
        <f t="shared" si="11"/>
        <v>-7459844.129999999</v>
      </c>
      <c r="AN13" s="75"/>
      <c r="AO13" s="664">
        <v>1884877.5</v>
      </c>
      <c r="AT13" s="151"/>
    </row>
    <row r="14" spans="1:46" ht="27" customHeight="1" x14ac:dyDescent="0.25">
      <c r="A14" s="148" t="s">
        <v>142</v>
      </c>
      <c r="B14" s="149">
        <f>'прилож.3-сады'!T56</f>
        <v>23348377.979999997</v>
      </c>
      <c r="C14" s="149">
        <v>0</v>
      </c>
      <c r="D14" s="149">
        <f>'прилож.3-сады'!Q66</f>
        <v>5351462.22</v>
      </c>
      <c r="E14" s="149">
        <f>'прилож.3-сады'!S67</f>
        <v>1778078.16</v>
      </c>
      <c r="F14" s="153">
        <f t="shared" si="12"/>
        <v>30477918.359999996</v>
      </c>
      <c r="G14" s="149">
        <f>'прилож.3-сады'!N56</f>
        <v>12227906.460000001</v>
      </c>
      <c r="H14" s="149">
        <v>0</v>
      </c>
      <c r="I14" s="149">
        <f>'прилож.3-сады'!O56</f>
        <v>4824935.76</v>
      </c>
      <c r="J14" s="150">
        <f>'прилож.3-сады'!Q56</f>
        <v>6295535.7599999998</v>
      </c>
      <c r="K14" s="150">
        <f>'прилож.3-сады'!Q66</f>
        <v>5351462.22</v>
      </c>
      <c r="L14" s="150">
        <f t="shared" si="4"/>
        <v>11646997.98</v>
      </c>
      <c r="M14" s="149">
        <f>'прилож.3-сады'!S67</f>
        <v>1778078.16</v>
      </c>
      <c r="N14" s="153">
        <f>G14+I14+L14+M14</f>
        <v>30477918.359999999</v>
      </c>
      <c r="O14" s="149"/>
      <c r="P14" s="150">
        <f t="shared" si="5"/>
        <v>1.0418577408712038</v>
      </c>
      <c r="Q14" s="150">
        <v>0</v>
      </c>
      <c r="R14" s="150">
        <f t="shared" si="13"/>
        <v>1.1012612943058127</v>
      </c>
      <c r="S14" s="150">
        <f t="shared" si="6"/>
        <v>1.216948181354454</v>
      </c>
      <c r="T14" s="149">
        <f>11678527+1061212</f>
        <v>12739739</v>
      </c>
      <c r="U14" s="149">
        <v>0</v>
      </c>
      <c r="V14" s="149">
        <f>4920569+392946</f>
        <v>5313515</v>
      </c>
      <c r="W14" s="150">
        <f>11287388.07+2886404.94</f>
        <v>14173793.01</v>
      </c>
      <c r="X14" s="150">
        <f t="shared" si="7"/>
        <v>7661340.7937839301</v>
      </c>
      <c r="Y14" s="637">
        <f>K14*S14</f>
        <v>6512452.2162160687</v>
      </c>
      <c r="Z14" s="499">
        <f>T14+V14+W14</f>
        <v>32227047.009999998</v>
      </c>
      <c r="AA14" s="364">
        <f t="shared" si="8"/>
        <v>25714594.793783929</v>
      </c>
      <c r="AB14" s="364">
        <f t="shared" si="9"/>
        <v>6512452.2162160687</v>
      </c>
      <c r="AC14" s="637">
        <f>1778078.16-20437.68</f>
        <v>1757640.48</v>
      </c>
      <c r="AD14" s="149">
        <f>Z14</f>
        <v>32227047.009999998</v>
      </c>
      <c r="AE14" s="149">
        <f>1023799.35+1178100</f>
        <v>2201899.35</v>
      </c>
      <c r="AF14" s="149">
        <f t="shared" si="2"/>
        <v>25714594.793783929</v>
      </c>
      <c r="AG14" s="535" t="e">
        <f>AE14/#REF!</f>
        <v>#REF!</v>
      </c>
      <c r="AH14" s="535">
        <f t="shared" si="3"/>
        <v>1.1013439484237755</v>
      </c>
      <c r="AI14" s="536" t="s">
        <v>142</v>
      </c>
      <c r="AJ14" s="149">
        <f>27886484.07+57696.44</f>
        <v>27944180.510000002</v>
      </c>
      <c r="AK14" s="149">
        <f t="shared" si="10"/>
        <v>27944180.510000002</v>
      </c>
      <c r="AL14" s="148" t="s">
        <v>142</v>
      </c>
      <c r="AM14" s="773">
        <f t="shared" si="11"/>
        <v>-2526795.0299999993</v>
      </c>
      <c r="AN14" s="75"/>
      <c r="AO14" s="664">
        <v>1679254.5</v>
      </c>
      <c r="AT14" s="151"/>
    </row>
    <row r="15" spans="1:46" ht="27" customHeight="1" x14ac:dyDescent="0.25">
      <c r="A15" s="148" t="s">
        <v>144</v>
      </c>
      <c r="B15" s="149">
        <f>'прилож.3-сады'!T69</f>
        <v>29609150.120000005</v>
      </c>
      <c r="C15" s="149">
        <f>'прилож.3-сады'!T84</f>
        <v>245421.75</v>
      </c>
      <c r="D15" s="149">
        <f>'прилож.3-сады'!Q81</f>
        <v>6520172.3599999994</v>
      </c>
      <c r="E15" s="149">
        <f>'прилож.3-сады'!S82</f>
        <v>2166394.08</v>
      </c>
      <c r="F15" s="153">
        <f t="shared" si="12"/>
        <v>38541138.310000002</v>
      </c>
      <c r="G15" s="149">
        <f>'прилож.3-сады'!N69</f>
        <v>15877154.84</v>
      </c>
      <c r="H15" s="149">
        <f>'прилож.3-сады'!N84</f>
        <v>245421.75</v>
      </c>
      <c r="I15" s="149">
        <f>'прилож.3-сады'!O69</f>
        <v>6061572.4000000004</v>
      </c>
      <c r="J15" s="150">
        <f>'прилож.3-сады'!Q69</f>
        <v>7670422.879999999</v>
      </c>
      <c r="K15" s="150">
        <f>'прилож.3-сады'!Q81</f>
        <v>6520172.3599999994</v>
      </c>
      <c r="L15" s="150">
        <f t="shared" si="4"/>
        <v>14190595.239999998</v>
      </c>
      <c r="M15" s="149">
        <f>'прилож.3-сады'!S82</f>
        <v>2166394.08</v>
      </c>
      <c r="N15" s="153">
        <f>G15+H15+I15+L15+M15</f>
        <v>38541138.310000002</v>
      </c>
      <c r="O15" s="149"/>
      <c r="P15" s="150">
        <f t="shared" si="5"/>
        <v>1.0349734675762601</v>
      </c>
      <c r="Q15" s="702">
        <v>0</v>
      </c>
      <c r="R15" s="150">
        <f t="shared" si="13"/>
        <v>1.0982279119523508</v>
      </c>
      <c r="S15" s="150">
        <f t="shared" si="6"/>
        <v>1.3304302610776177</v>
      </c>
      <c r="T15" s="149">
        <f>14897262+1535172</f>
        <v>16432434</v>
      </c>
      <c r="U15" s="149">
        <v>245421.75</v>
      </c>
      <c r="V15" s="149">
        <f>5988888+668100</f>
        <v>6656988</v>
      </c>
      <c r="W15" s="150">
        <f>12485243.92+6394353.41</f>
        <v>18879597.329999998</v>
      </c>
      <c r="X15" s="150">
        <f t="shared" si="7"/>
        <v>10204962.714814132</v>
      </c>
      <c r="Y15" s="637">
        <f t="shared" ref="Y15:Y20" si="14">K15*S15</f>
        <v>8674634.6151858661</v>
      </c>
      <c r="Z15" s="499">
        <f>T15+U15+V15+W15</f>
        <v>42214441.079999998</v>
      </c>
      <c r="AA15" s="364">
        <f>T15+U15+V15+X15</f>
        <v>33539806.464814134</v>
      </c>
      <c r="AB15" s="364">
        <f t="shared" si="9"/>
        <v>8674634.6151858661</v>
      </c>
      <c r="AC15" s="637">
        <f>2105081.04+40875.36</f>
        <v>2145956.4</v>
      </c>
      <c r="AD15" s="149">
        <f>Z15</f>
        <v>42214441.079999998</v>
      </c>
      <c r="AE15" s="149">
        <f>1631026.83+1744050</f>
        <v>3375076.83</v>
      </c>
      <c r="AF15" s="149">
        <f t="shared" si="2"/>
        <v>33294384.714814134</v>
      </c>
      <c r="AG15" s="535" t="e">
        <f>AE15/#REF!</f>
        <v>#REF!</v>
      </c>
      <c r="AH15" s="535">
        <f t="shared" si="3"/>
        <v>1.1244626941293014</v>
      </c>
      <c r="AI15" s="536" t="s">
        <v>144</v>
      </c>
      <c r="AJ15" s="149">
        <f>33371393.92+2987021.08</f>
        <v>36358415</v>
      </c>
      <c r="AK15" s="149">
        <f t="shared" si="10"/>
        <v>36358415</v>
      </c>
      <c r="AL15" s="148" t="s">
        <v>144</v>
      </c>
      <c r="AM15" s="773">
        <f t="shared" si="11"/>
        <v>-4689002.09</v>
      </c>
      <c r="AN15" s="75"/>
      <c r="AO15" s="664">
        <v>1867742.25</v>
      </c>
      <c r="AT15" s="151"/>
    </row>
    <row r="16" spans="1:46" ht="27" customHeight="1" x14ac:dyDescent="0.25">
      <c r="A16" s="148" t="s">
        <v>146</v>
      </c>
      <c r="B16" s="149">
        <f>'прилож.3-сады'!T87</f>
        <v>26818257.800000001</v>
      </c>
      <c r="C16" s="149">
        <v>0</v>
      </c>
      <c r="D16" s="149">
        <f>'прилож.3-сады'!Q97</f>
        <v>5966572.8199999994</v>
      </c>
      <c r="E16" s="149">
        <f>'прилож.3-сады'!S98</f>
        <v>1982454.96</v>
      </c>
      <c r="F16" s="153">
        <f t="shared" si="12"/>
        <v>34767285.579999998</v>
      </c>
      <c r="G16" s="149">
        <f>'прилож.3-сады'!N87</f>
        <v>14384409.510000002</v>
      </c>
      <c r="H16" s="149">
        <v>0</v>
      </c>
      <c r="I16" s="149">
        <f>'прилож.3-сады'!O87</f>
        <v>5414687.7300000004</v>
      </c>
      <c r="J16" s="150">
        <f>'прилож.3-сады'!Q87</f>
        <v>7019160.5599999996</v>
      </c>
      <c r="K16" s="150">
        <f>'прилож.3-сады'!Q97</f>
        <v>5966572.8199999994</v>
      </c>
      <c r="L16" s="150">
        <f t="shared" si="4"/>
        <v>12985733.379999999</v>
      </c>
      <c r="M16" s="149">
        <f>'прилож.3-сады'!S98</f>
        <v>1982454.96</v>
      </c>
      <c r="N16" s="153">
        <f t="shared" ref="N16:N18" si="15">G16+I16+L16+M16</f>
        <v>34767285.579999998</v>
      </c>
      <c r="O16" s="149"/>
      <c r="P16" s="150">
        <f t="shared" si="5"/>
        <v>1.0430898111993474</v>
      </c>
      <c r="Q16" s="150">
        <v>0</v>
      </c>
      <c r="R16" s="150">
        <f t="shared" si="13"/>
        <v>1.1005207127613985</v>
      </c>
      <c r="S16" s="150">
        <f t="shared" si="6"/>
        <v>0.95286542761283766</v>
      </c>
      <c r="T16" s="149">
        <f>13705133+1299098</f>
        <v>15004231</v>
      </c>
      <c r="U16" s="149">
        <v>0</v>
      </c>
      <c r="V16" s="149">
        <f>5432114+526862</f>
        <v>5958976</v>
      </c>
      <c r="W16" s="150">
        <f>10916439.69+1457216.7</f>
        <v>12373656.389999999</v>
      </c>
      <c r="X16" s="150">
        <f t="shared" si="7"/>
        <v>6688315.4284875644</v>
      </c>
      <c r="Y16" s="637">
        <f t="shared" si="14"/>
        <v>5685340.9615124343</v>
      </c>
      <c r="Z16" s="499">
        <f t="shared" si="0"/>
        <v>33336863.390000001</v>
      </c>
      <c r="AA16" s="364">
        <f t="shared" si="8"/>
        <v>27651522.428487565</v>
      </c>
      <c r="AB16" s="364">
        <f t="shared" si="9"/>
        <v>5685340.9615124343</v>
      </c>
      <c r="AC16" s="637">
        <f>1982454.96-20437.68</f>
        <v>1962017.28</v>
      </c>
      <c r="AD16" s="149">
        <f t="shared" ref="AD16:AD20" si="16">Z16</f>
        <v>33336863.390000001</v>
      </c>
      <c r="AE16" s="149">
        <f>1223824.58+1293600</f>
        <v>2517424.58</v>
      </c>
      <c r="AF16" s="149">
        <f t="shared" si="2"/>
        <v>27651522.428487565</v>
      </c>
      <c r="AG16" s="535" t="e">
        <f>AE16/#REF!</f>
        <v>#REF!</v>
      </c>
      <c r="AH16" s="535">
        <f t="shared" si="3"/>
        <v>1.0310707964216663</v>
      </c>
      <c r="AI16" s="536" t="s">
        <v>146</v>
      </c>
      <c r="AJ16" s="149">
        <f>30053686.69-198104.69</f>
        <v>29855582</v>
      </c>
      <c r="AK16" s="149">
        <f t="shared" si="10"/>
        <v>29855582</v>
      </c>
      <c r="AL16" s="148" t="s">
        <v>146</v>
      </c>
      <c r="AM16" s="773"/>
      <c r="AN16" s="75"/>
      <c r="AO16" s="664">
        <v>1799201.25</v>
      </c>
      <c r="AT16" s="151"/>
    </row>
    <row r="17" spans="1:46" ht="27" customHeight="1" x14ac:dyDescent="0.25">
      <c r="A17" s="148" t="s">
        <v>147</v>
      </c>
      <c r="B17" s="149">
        <f>'прилож.3-сады'!T100</f>
        <v>33354991.750000007</v>
      </c>
      <c r="C17" s="149">
        <f>'прилож.3-сады'!T132</f>
        <v>143052.75</v>
      </c>
      <c r="D17" s="149">
        <f>'прилож.3-сады'!Q129</f>
        <v>6212617.0599999996</v>
      </c>
      <c r="E17" s="149">
        <f>'прилож.3-сады'!S130</f>
        <v>2064205.68</v>
      </c>
      <c r="F17" s="153">
        <f t="shared" si="12"/>
        <v>41774867.24000001</v>
      </c>
      <c r="G17" s="149">
        <f>'прилож.3-сады'!N100</f>
        <v>17775854.140000004</v>
      </c>
      <c r="H17" s="149">
        <f>'прилож.3-сады'!N132</f>
        <v>143052.75</v>
      </c>
      <c r="I17" s="149">
        <f>'прилож.3-сады'!O100</f>
        <v>8270527.129999999</v>
      </c>
      <c r="J17" s="650">
        <f>'прилож.3-сады'!Q100</f>
        <v>7308610.4799999995</v>
      </c>
      <c r="K17" s="150">
        <f>'прилож.3-сады'!Q129</f>
        <v>6212617.0599999996</v>
      </c>
      <c r="L17" s="150">
        <f t="shared" si="4"/>
        <v>13521227.539999999</v>
      </c>
      <c r="M17" s="149">
        <f>'прилож.3-сады'!S130</f>
        <v>2064205.68</v>
      </c>
      <c r="N17" s="153">
        <f>G17+H17+I17+L17+M17</f>
        <v>41774867.240000002</v>
      </c>
      <c r="O17" s="149"/>
      <c r="P17" s="150">
        <f t="shared" si="5"/>
        <v>1.1970874553992035</v>
      </c>
      <c r="Q17" s="702">
        <v>0</v>
      </c>
      <c r="R17" s="150">
        <f t="shared" si="13"/>
        <v>1.3114430107673198</v>
      </c>
      <c r="S17" s="150">
        <f t="shared" si="6"/>
        <v>1.7593591461740907</v>
      </c>
      <c r="T17" s="149">
        <f>19679259+1599993</f>
        <v>21279252</v>
      </c>
      <c r="U17" s="149">
        <v>143052.75</v>
      </c>
      <c r="V17" s="149">
        <f>9335023+1511302</f>
        <v>10846325</v>
      </c>
      <c r="W17" s="150">
        <f>13260771+10527924.34</f>
        <v>23788695.34</v>
      </c>
      <c r="X17" s="150">
        <f t="shared" si="7"/>
        <v>12858470.69381181</v>
      </c>
      <c r="Y17" s="637">
        <f t="shared" si="14"/>
        <v>10930224.646188188</v>
      </c>
      <c r="Z17" s="499">
        <f>T17+U17+V17+W17</f>
        <v>56057325.090000004</v>
      </c>
      <c r="AA17" s="364">
        <f>T17+U17+V17+X17</f>
        <v>45127100.443811812</v>
      </c>
      <c r="AB17" s="364">
        <f t="shared" si="9"/>
        <v>10930224.646188188</v>
      </c>
      <c r="AC17" s="637">
        <f>2064205.68-224814.48</f>
        <v>1839391.2</v>
      </c>
      <c r="AD17" s="149">
        <f t="shared" si="16"/>
        <v>56057325.090000004</v>
      </c>
      <c r="AE17" s="149">
        <f>2214748.2+2621850</f>
        <v>4836598.2</v>
      </c>
      <c r="AF17" s="149">
        <f t="shared" si="2"/>
        <v>44984047.693811819</v>
      </c>
      <c r="AG17" s="535" t="e">
        <f>AE17/#REF!</f>
        <v>#REF!</v>
      </c>
      <c r="AH17" s="535">
        <f t="shared" si="3"/>
        <v>1.3486451452596089</v>
      </c>
      <c r="AI17" s="536" t="s">
        <v>171</v>
      </c>
      <c r="AJ17" s="149">
        <f>42275053+5779720</f>
        <v>48054773</v>
      </c>
      <c r="AK17" s="149">
        <f>AJ17</f>
        <v>48054773</v>
      </c>
      <c r="AL17" s="148" t="s">
        <v>147</v>
      </c>
      <c r="AM17" s="773">
        <f t="shared" si="11"/>
        <v>-10267467.800000001</v>
      </c>
      <c r="AN17" s="75"/>
      <c r="AO17" s="664">
        <v>1987689</v>
      </c>
      <c r="AT17" s="151"/>
    </row>
    <row r="18" spans="1:46" ht="27" customHeight="1" x14ac:dyDescent="0.25">
      <c r="A18" s="148" t="s">
        <v>148</v>
      </c>
      <c r="B18" s="149">
        <f>'прилож.3-сады'!T135</f>
        <v>35385788.174999997</v>
      </c>
      <c r="C18" s="149">
        <v>0</v>
      </c>
      <c r="D18" s="149">
        <f>'прилож.3-сады'!Q143</f>
        <v>7504351.2399999993</v>
      </c>
      <c r="E18" s="149">
        <f>'прилож.3-сады'!S144</f>
        <v>2493396.96</v>
      </c>
      <c r="F18" s="153">
        <f t="shared" si="12"/>
        <v>45383536.375</v>
      </c>
      <c r="G18" s="149">
        <f>'прилож.3-сады'!N135</f>
        <v>19038953.229999997</v>
      </c>
      <c r="H18" s="149">
        <v>0</v>
      </c>
      <c r="I18" s="149">
        <f>'прилож.3-сады'!O135</f>
        <v>7518626.3849999998</v>
      </c>
      <c r="J18" s="150">
        <f>'прилож.3-сады'!Q135</f>
        <v>8828208.5599999987</v>
      </c>
      <c r="K18" s="150">
        <f>'прилож.3-сады'!Q143</f>
        <v>7504351.2399999993</v>
      </c>
      <c r="L18" s="150">
        <f>SUM(J18:K18)</f>
        <v>16332559.799999997</v>
      </c>
      <c r="M18" s="149">
        <f>'прилож.3-сады'!S144</f>
        <v>2493396.96</v>
      </c>
      <c r="N18" s="153">
        <f t="shared" si="15"/>
        <v>45383536.374999993</v>
      </c>
      <c r="O18" s="149"/>
      <c r="P18" s="150">
        <f t="shared" si="5"/>
        <v>0.96404071055118623</v>
      </c>
      <c r="Q18" s="150">
        <v>0</v>
      </c>
      <c r="R18" s="150">
        <f t="shared" si="13"/>
        <v>1.0255590057491599</v>
      </c>
      <c r="S18" s="150">
        <f>W18/L18</f>
        <v>0.86250815074315568</v>
      </c>
      <c r="T18" s="149">
        <f>15059940+3294386</f>
        <v>18354326</v>
      </c>
      <c r="U18" s="149">
        <v>0</v>
      </c>
      <c r="V18" s="149">
        <f>5834989+1875806</f>
        <v>7710795</v>
      </c>
      <c r="W18" s="150">
        <f>12064467.22+2022498.73</f>
        <v>14086965.950000001</v>
      </c>
      <c r="X18" s="150">
        <f t="shared" si="7"/>
        <v>7614401.8394604959</v>
      </c>
      <c r="Y18" s="637">
        <f t="shared" si="14"/>
        <v>6472564.1105395062</v>
      </c>
      <c r="Z18" s="499">
        <f t="shared" si="0"/>
        <v>40152086.950000003</v>
      </c>
      <c r="AA18" s="364">
        <f t="shared" si="8"/>
        <v>33679522.839460492</v>
      </c>
      <c r="AB18" s="364">
        <f t="shared" si="9"/>
        <v>6472564.1105395062</v>
      </c>
      <c r="AC18" s="637">
        <f>2432083.92+20437.68</f>
        <v>2452521.6</v>
      </c>
      <c r="AD18" s="149">
        <f t="shared" si="16"/>
        <v>40152086.950000003</v>
      </c>
      <c r="AE18" s="149">
        <f>1343296.5+1570800</f>
        <v>2914096.5</v>
      </c>
      <c r="AF18" s="149">
        <f t="shared" si="2"/>
        <v>33679522.8394605</v>
      </c>
      <c r="AG18" s="535" t="e">
        <f>AE18/#REF!</f>
        <v>#REF!</v>
      </c>
      <c r="AH18" s="535">
        <f t="shared" si="3"/>
        <v>0.95178105608101249</v>
      </c>
      <c r="AI18" s="536" t="s">
        <v>148</v>
      </c>
      <c r="AJ18" s="149">
        <f>32959396.22-161705.72</f>
        <v>32797690.5</v>
      </c>
      <c r="AK18" s="149">
        <f t="shared" si="10"/>
        <v>32797690.5</v>
      </c>
      <c r="AL18" s="148" t="s">
        <v>148</v>
      </c>
      <c r="AM18" s="773"/>
      <c r="AN18" s="75"/>
      <c r="AO18" s="664">
        <v>2159041.5</v>
      </c>
      <c r="AT18" s="151"/>
    </row>
    <row r="19" spans="1:46" ht="27" customHeight="1" x14ac:dyDescent="0.25">
      <c r="A19" s="148" t="s">
        <v>149</v>
      </c>
      <c r="B19" s="149">
        <f>'прилож.3-сады'!T146</f>
        <v>38595097.029999994</v>
      </c>
      <c r="C19" s="149">
        <f>'прилож.3-сады'!T158</f>
        <v>204450.15</v>
      </c>
      <c r="D19" s="149">
        <f>'прилож.3-сады'!Q155</f>
        <v>7565860.3799999999</v>
      </c>
      <c r="E19" s="149">
        <f>'прилож.3-сады'!S156</f>
        <v>2513834.64</v>
      </c>
      <c r="F19" s="153">
        <f>SUM(B19:E19)</f>
        <v>48879242.199999996</v>
      </c>
      <c r="G19" s="149">
        <f>'прилож.3-сады'!N146</f>
        <v>20859927.919999994</v>
      </c>
      <c r="H19" s="149">
        <f>'прилож.3-сады'!N158</f>
        <v>204450.15</v>
      </c>
      <c r="I19" s="149">
        <f>'прилож.3-сады'!O146</f>
        <v>8834623.0699999984</v>
      </c>
      <c r="J19" s="150">
        <f>'прилож.3-сады'!Q146</f>
        <v>8900546.0399999991</v>
      </c>
      <c r="K19" s="150">
        <f>'прилож.3-сады'!Q155</f>
        <v>7565860.3799999999</v>
      </c>
      <c r="L19" s="150">
        <f t="shared" si="4"/>
        <v>16466406.419999998</v>
      </c>
      <c r="M19" s="149">
        <f>'прилож.3-сады'!S156</f>
        <v>2513834.64</v>
      </c>
      <c r="N19" s="153">
        <f>G19+H19+I19+L19+M19</f>
        <v>48879242.199999988</v>
      </c>
      <c r="O19" s="149"/>
      <c r="P19" s="150">
        <f t="shared" si="5"/>
        <v>0.92234398286453934</v>
      </c>
      <c r="Q19" s="702">
        <v>0</v>
      </c>
      <c r="R19" s="150">
        <f t="shared" si="13"/>
        <v>1.0138116735748866</v>
      </c>
      <c r="S19" s="150">
        <f t="shared" si="6"/>
        <v>1.1073994249195753</v>
      </c>
      <c r="T19" s="149">
        <f>17539967+1700062</f>
        <v>19240029</v>
      </c>
      <c r="U19" s="149">
        <v>204450.15</v>
      </c>
      <c r="V19" s="149">
        <f>8012270+944374</f>
        <v>8956644</v>
      </c>
      <c r="W19" s="150">
        <f>15663255+2571634</f>
        <v>18234889</v>
      </c>
      <c r="X19" s="150">
        <f t="shared" si="7"/>
        <v>9856459.5661662016</v>
      </c>
      <c r="Y19" s="637">
        <f t="shared" si="14"/>
        <v>8378429.4338337993</v>
      </c>
      <c r="Z19" s="499">
        <f>T19+U19+V19+W19</f>
        <v>46636012.149999999</v>
      </c>
      <c r="AA19" s="364">
        <f>T19+U19+V19+X19</f>
        <v>38257582.716166198</v>
      </c>
      <c r="AB19" s="364">
        <f t="shared" si="9"/>
        <v>8378429.4338337993</v>
      </c>
      <c r="AC19" s="637">
        <f>2513834.64-20437.68</f>
        <v>2493396.96</v>
      </c>
      <c r="AD19" s="149">
        <f t="shared" si="16"/>
        <v>46636012.149999999</v>
      </c>
      <c r="AE19" s="149">
        <f>1403294.08+1593900</f>
        <v>2997194.08</v>
      </c>
      <c r="AF19" s="149">
        <f t="shared" si="2"/>
        <v>38053132.5661662</v>
      </c>
      <c r="AG19" s="535" t="e">
        <f>AE19/#REF!</f>
        <v>#REF!</v>
      </c>
      <c r="AH19" s="535">
        <f t="shared" si="3"/>
        <v>0.98595768619489355</v>
      </c>
      <c r="AI19" s="536" t="s">
        <v>149</v>
      </c>
      <c r="AJ19" s="149">
        <f>41215492-204503</f>
        <v>41010989</v>
      </c>
      <c r="AK19" s="149">
        <f t="shared" si="10"/>
        <v>41010989</v>
      </c>
      <c r="AL19" s="148" t="s">
        <v>149</v>
      </c>
      <c r="AM19" s="773"/>
      <c r="AO19" s="664">
        <v>2193312</v>
      </c>
      <c r="AT19" s="151"/>
    </row>
    <row r="20" spans="1:46" ht="27" customHeight="1" x14ac:dyDescent="0.25">
      <c r="A20" s="148" t="s">
        <v>172</v>
      </c>
      <c r="B20" s="149">
        <f>'прилож.3-сады'!T161</f>
        <v>54797964.629999995</v>
      </c>
      <c r="C20" s="149">
        <f>'прилож.3-сады'!T175</f>
        <v>240075.35</v>
      </c>
      <c r="D20" s="149">
        <f>'прилож.3-сады'!Q172</f>
        <v>11195012.92</v>
      </c>
      <c r="E20" s="149">
        <f>'прилож.3-сады'!S173</f>
        <v>3719657.7600000002</v>
      </c>
      <c r="F20" s="153">
        <f>SUM(B20:E20)</f>
        <v>69952710.659999996</v>
      </c>
      <c r="G20" s="149">
        <f>'прилож.3-сады'!N161</f>
        <v>29782193.810000002</v>
      </c>
      <c r="H20" s="149">
        <f>'прилож.3-сады'!N175</f>
        <v>240075.35</v>
      </c>
      <c r="I20" s="149">
        <f>'прилож.3-сады'!O161</f>
        <v>11845799.460000001</v>
      </c>
      <c r="J20" s="150">
        <f>'прилож.3-сады'!Q161</f>
        <v>13169971.359999999</v>
      </c>
      <c r="K20" s="150">
        <f>'прилож.3-сады'!Q172</f>
        <v>11195012.92</v>
      </c>
      <c r="L20" s="150">
        <f t="shared" si="4"/>
        <v>24364984.280000001</v>
      </c>
      <c r="M20" s="149">
        <f>'прилож.3-сады'!S173</f>
        <v>3719657.7600000002</v>
      </c>
      <c r="N20" s="153">
        <f>G20+H20+I20+L20+M20</f>
        <v>69952710.660000011</v>
      </c>
      <c r="O20" s="149"/>
      <c r="P20" s="150">
        <f t="shared" si="5"/>
        <v>1.0298618763840486</v>
      </c>
      <c r="Q20" s="702">
        <v>0</v>
      </c>
      <c r="R20" s="150">
        <f t="shared" si="13"/>
        <v>1.0800214070144321</v>
      </c>
      <c r="S20" s="150">
        <f t="shared" si="6"/>
        <v>1.1148063667045387</v>
      </c>
      <c r="T20" s="149">
        <f>27340094+3331452</f>
        <v>30671546</v>
      </c>
      <c r="U20" s="149">
        <f>231745.35+8330</f>
        <v>240075.35</v>
      </c>
      <c r="V20" s="149">
        <f>11236879+1556838</f>
        <v>12793717</v>
      </c>
      <c r="W20" s="150">
        <f>22766703.2+4395536.4</f>
        <v>27162239.600000001</v>
      </c>
      <c r="X20" s="150">
        <f t="shared" si="7"/>
        <v>14681967.921444431</v>
      </c>
      <c r="Y20" s="637">
        <f t="shared" si="14"/>
        <v>12480271.678555569</v>
      </c>
      <c r="Z20" s="499">
        <f>T20+U20+V20+W20</f>
        <v>70867577.950000003</v>
      </c>
      <c r="AA20" s="364">
        <f>T20+U20+V20+X20</f>
        <v>58387306.271444432</v>
      </c>
      <c r="AB20" s="364">
        <f t="shared" si="9"/>
        <v>12480271.678555569</v>
      </c>
      <c r="AC20" s="637">
        <f>3597031.68+102188.4</f>
        <v>3699220.08</v>
      </c>
      <c r="AD20" s="149">
        <f t="shared" si="16"/>
        <v>70867577.950000003</v>
      </c>
      <c r="AE20" s="149">
        <f>2304254.93+89977.11+2772000</f>
        <v>5166232.04</v>
      </c>
      <c r="AF20" s="149">
        <f t="shared" si="2"/>
        <v>58147230.921444423</v>
      </c>
      <c r="AG20" s="535" t="e">
        <f>AE20/#REF!</f>
        <v>#REF!</v>
      </c>
      <c r="AH20" s="535">
        <f t="shared" si="3"/>
        <v>1.0611202681351202</v>
      </c>
      <c r="AI20" s="536" t="s">
        <v>172</v>
      </c>
      <c r="AJ20" s="149">
        <v>61343676.200000003</v>
      </c>
      <c r="AK20" s="149">
        <f t="shared" si="10"/>
        <v>61343676.200000003</v>
      </c>
      <c r="AL20" s="148" t="s">
        <v>172</v>
      </c>
      <c r="AM20" s="773">
        <f t="shared" si="11"/>
        <v>-2797255.3200000003</v>
      </c>
      <c r="AO20" s="664">
        <v>3152886</v>
      </c>
      <c r="AT20" s="151"/>
    </row>
    <row r="21" spans="1:46" ht="27" customHeight="1" x14ac:dyDescent="0.25">
      <c r="A21" s="152" t="s">
        <v>119</v>
      </c>
      <c r="B21" s="153">
        <f t="shared" ref="B21:O21" si="17">SUM(B11:B20)</f>
        <v>329936687.47499996</v>
      </c>
      <c r="C21" s="153">
        <f>C15+C17+C19+C20</f>
        <v>833000</v>
      </c>
      <c r="D21" s="153">
        <f t="shared" si="17"/>
        <v>73786475.820000008</v>
      </c>
      <c r="E21" s="153">
        <f t="shared" si="17"/>
        <v>22031819.040000003</v>
      </c>
      <c r="F21" s="153">
        <f t="shared" si="17"/>
        <v>426587982.33499992</v>
      </c>
      <c r="G21" s="153">
        <f t="shared" si="17"/>
        <v>176405959.22999999</v>
      </c>
      <c r="H21" s="153">
        <f>H15+H17+H19+H20</f>
        <v>833000</v>
      </c>
      <c r="I21" s="153">
        <f t="shared" si="17"/>
        <v>71777891.694999993</v>
      </c>
      <c r="J21" s="153">
        <f>SUM(J11:J20)</f>
        <v>81752836.549999997</v>
      </c>
      <c r="K21" s="153">
        <f t="shared" si="17"/>
        <v>73786475.820000008</v>
      </c>
      <c r="L21" s="153">
        <f>SUM(J21:K21)</f>
        <v>155539312.37</v>
      </c>
      <c r="M21" s="153">
        <f t="shared" si="17"/>
        <v>22031819.040000003</v>
      </c>
      <c r="N21" s="153">
        <f>G21+H21+I21+L21+M21</f>
        <v>426587982.33499998</v>
      </c>
      <c r="O21" s="149">
        <f t="shared" si="17"/>
        <v>0</v>
      </c>
      <c r="P21" s="150">
        <f t="shared" si="5"/>
        <v>1.0262493443544198</v>
      </c>
      <c r="Q21" s="150">
        <v>0</v>
      </c>
      <c r="R21" s="150">
        <f t="shared" si="13"/>
        <v>1.0927461248553743</v>
      </c>
      <c r="S21" s="150">
        <f t="shared" si="6"/>
        <v>1.1775548542628549</v>
      </c>
      <c r="T21" s="499">
        <f t="shared" ref="T21:AD21" si="18">SUM(T11:T20)</f>
        <v>181036500</v>
      </c>
      <c r="U21" s="499">
        <f>U15+U17+U19+U20</f>
        <v>833000</v>
      </c>
      <c r="V21" s="499">
        <f t="shared" si="18"/>
        <v>78435013</v>
      </c>
      <c r="W21" s="153">
        <f>SUM(W11:W20)</f>
        <v>183156072.31</v>
      </c>
      <c r="X21" s="153">
        <f t="shared" si="18"/>
        <v>96736500.19255133</v>
      </c>
      <c r="Y21" s="639">
        <f t="shared" si="18"/>
        <v>86419572.117448658</v>
      </c>
      <c r="Z21" s="499">
        <f t="shared" si="18"/>
        <v>443460585.30999994</v>
      </c>
      <c r="AA21" s="365">
        <f t="shared" si="18"/>
        <v>357041013.19255131</v>
      </c>
      <c r="AB21" s="365">
        <f t="shared" si="18"/>
        <v>86419572.117448658</v>
      </c>
      <c r="AC21" s="639">
        <f t="shared" si="18"/>
        <v>21520877.039999999</v>
      </c>
      <c r="AD21" s="499">
        <f t="shared" si="18"/>
        <v>443460585.30999994</v>
      </c>
      <c r="AE21" s="499" t="e">
        <f>O21-N21-#REF!</f>
        <v>#REF!</v>
      </c>
      <c r="AF21" s="499" t="e">
        <f>#REF!-O21-#REF!</f>
        <v>#REF!</v>
      </c>
      <c r="AG21" s="499" t="e">
        <f>#REF!-#REF!-T21</f>
        <v>#REF!</v>
      </c>
      <c r="AH21" s="499" t="e">
        <f>T21-#REF!-V21</f>
        <v>#REF!</v>
      </c>
      <c r="AI21" s="499">
        <f>V21-T21-W21</f>
        <v>-285757559.31</v>
      </c>
      <c r="AJ21" s="499">
        <f>SUM(AJ11:AJ20)</f>
        <v>383700578.43000001</v>
      </c>
      <c r="AK21" s="499">
        <f>SUM(AK11:AK20)</f>
        <v>383700578.43000001</v>
      </c>
      <c r="AL21" s="152" t="s">
        <v>119</v>
      </c>
      <c r="AM21" s="773">
        <f>SUM(AM11:AM20)</f>
        <v>-28705948.199999996</v>
      </c>
      <c r="AO21" s="665">
        <f t="shared" ref="AO21" si="19">SUM(AO11:AO20)</f>
        <v>19362832.5</v>
      </c>
      <c r="AT21" s="154"/>
    </row>
    <row r="22" spans="1:46" x14ac:dyDescent="0.25">
      <c r="A22" s="128"/>
      <c r="B22" s="128"/>
      <c r="C22" s="128"/>
      <c r="D22" s="128"/>
      <c r="E22" s="128"/>
      <c r="F22" s="128"/>
      <c r="I22" s="128"/>
      <c r="J22" s="128"/>
      <c r="K22" s="128"/>
      <c r="L22" s="128"/>
      <c r="M22" s="128"/>
      <c r="N22" s="128"/>
      <c r="O22" s="128"/>
      <c r="T22" s="155"/>
      <c r="U22" s="155"/>
      <c r="V22" s="155"/>
      <c r="W22" s="155"/>
      <c r="X22" s="155"/>
      <c r="Y22" s="155"/>
      <c r="Z22" s="156"/>
      <c r="AA22" s="156"/>
      <c r="AB22" s="156"/>
      <c r="AC22" s="156"/>
    </row>
    <row r="23" spans="1:46" hidden="1" x14ac:dyDescent="0.25">
      <c r="W23" s="75">
        <v>9093938.6199999992</v>
      </c>
      <c r="Z23" s="75"/>
      <c r="AA23" s="75"/>
      <c r="AB23" s="75"/>
      <c r="AC23" s="75"/>
      <c r="AD23" s="157"/>
    </row>
    <row r="24" spans="1:46" hidden="1" x14ac:dyDescent="0.25">
      <c r="W24" s="75">
        <f>W21+W23</f>
        <v>192250010.93000001</v>
      </c>
      <c r="Z24" s="75"/>
      <c r="AA24" s="75"/>
      <c r="AB24" s="75"/>
      <c r="AC24" s="75"/>
    </row>
    <row r="25" spans="1:46" x14ac:dyDescent="0.25">
      <c r="G25" s="157"/>
      <c r="L25" s="75"/>
      <c r="N25" s="784">
        <f>G21+I21+L21+M21</f>
        <v>425754982.33499998</v>
      </c>
      <c r="W25" s="75"/>
      <c r="Z25" s="75"/>
      <c r="AA25" s="75"/>
      <c r="AB25" s="75"/>
      <c r="AC25" s="75"/>
    </row>
    <row r="26" spans="1:46" x14ac:dyDescent="0.25">
      <c r="I26" s="75"/>
      <c r="L26" s="75"/>
      <c r="N26" s="784"/>
      <c r="V26" s="75"/>
      <c r="W26" s="75"/>
      <c r="Z26" s="784">
        <f>Z21-N21</f>
        <v>16872602.974999964</v>
      </c>
      <c r="AA26" s="75"/>
      <c r="AB26" s="75"/>
      <c r="AC26" s="75"/>
    </row>
    <row r="27" spans="1:46" x14ac:dyDescent="0.25">
      <c r="I27" s="75"/>
      <c r="N27" s="784">
        <f>G21+I21+J21</f>
        <v>329936687.47499996</v>
      </c>
      <c r="Z27" s="75"/>
      <c r="AA27" s="75"/>
      <c r="AB27" s="75"/>
      <c r="AC27" s="75"/>
    </row>
    <row r="28" spans="1:46" x14ac:dyDescent="0.25">
      <c r="I28" s="75"/>
      <c r="Z28" s="75"/>
      <c r="AA28" s="75"/>
      <c r="AB28" s="75"/>
      <c r="AC28" s="75"/>
    </row>
    <row r="29" spans="1:46" x14ac:dyDescent="0.25">
      <c r="Z29" s="75"/>
      <c r="AA29" s="75"/>
      <c r="AB29" s="75"/>
      <c r="AC29" s="75"/>
    </row>
    <row r="30" spans="1:46" x14ac:dyDescent="0.25">
      <c r="G30" s="157"/>
      <c r="H30" s="157"/>
      <c r="I30" s="75"/>
      <c r="Z30" s="75"/>
      <c r="AA30" s="75"/>
      <c r="AB30" s="75"/>
      <c r="AC30" s="75"/>
    </row>
    <row r="31" spans="1:46" x14ac:dyDescent="0.25">
      <c r="I31" s="75"/>
      <c r="J31" s="78"/>
      <c r="W31" s="78"/>
      <c r="X31" s="78"/>
    </row>
    <row r="32" spans="1:46" x14ac:dyDescent="0.25">
      <c r="A32" s="48" t="s">
        <v>78</v>
      </c>
      <c r="I32" s="75"/>
    </row>
    <row r="33" spans="4:37" hidden="1" x14ac:dyDescent="0.25">
      <c r="J33" s="900">
        <f>J21+K21</f>
        <v>155539312.37</v>
      </c>
      <c r="K33" s="900"/>
      <c r="L33" s="497"/>
      <c r="N33" s="75"/>
      <c r="W33" s="900">
        <f>W21+Y21</f>
        <v>269575644.42744863</v>
      </c>
      <c r="X33" s="900"/>
      <c r="Y33" s="900"/>
    </row>
    <row r="34" spans="4:37" x14ac:dyDescent="0.25">
      <c r="I34" s="75"/>
      <c r="K34" s="75"/>
      <c r="L34" s="75"/>
      <c r="AJ34" s="75"/>
      <c r="AK34" s="75"/>
    </row>
    <row r="36" spans="4:37" x14ac:dyDescent="0.25">
      <c r="D36" s="75"/>
      <c r="J36" s="75"/>
      <c r="N36" s="75"/>
    </row>
    <row r="39" spans="4:37" x14ac:dyDescent="0.25">
      <c r="J39" s="75"/>
    </row>
  </sheetData>
  <mergeCells count="28">
    <mergeCell ref="B7:E7"/>
    <mergeCell ref="G7:N7"/>
    <mergeCell ref="G8:I8"/>
    <mergeCell ref="P7:S7"/>
    <mergeCell ref="T7:AB7"/>
    <mergeCell ref="V8:V9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AF7:AF9"/>
    <mergeCell ref="AC7:AC9"/>
    <mergeCell ref="AB2:AC2"/>
    <mergeCell ref="AB3:AC3"/>
    <mergeCell ref="J33:K33"/>
    <mergeCell ref="W33:Y33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workbookViewId="0">
      <selection activeCell="AA7" sqref="AA7"/>
    </sheetView>
  </sheetViews>
  <sheetFormatPr defaultColWidth="9.109375" defaultRowHeight="13.8" x14ac:dyDescent="0.25"/>
  <cols>
    <col min="1" max="1" width="14" style="1" customWidth="1"/>
    <col min="2" max="2" width="22.33203125" style="1" customWidth="1"/>
    <col min="3" max="3" width="9" style="1" customWidth="1"/>
    <col min="4" max="4" width="11.109375" style="1" customWidth="1"/>
    <col min="5" max="5" width="18.33203125" style="1" hidden="1" customWidth="1"/>
    <col min="6" max="6" width="13.33203125" style="1" hidden="1" customWidth="1"/>
    <col min="7" max="7" width="11.109375" style="1" customWidth="1"/>
    <col min="8" max="8" width="11.44140625" style="1" customWidth="1"/>
    <col min="9" max="9" width="9.5546875" style="1" customWidth="1"/>
    <col min="10" max="10" width="13.33203125" style="1" customWidth="1"/>
    <col min="11" max="11" width="9.6640625" style="1" customWidth="1"/>
    <col min="12" max="12" width="13.44140625" style="1" customWidth="1"/>
    <col min="13" max="13" width="10.109375" style="1" customWidth="1"/>
    <col min="14" max="14" width="13.5546875" style="1" customWidth="1"/>
    <col min="15" max="15" width="3.77734375" style="1" customWidth="1"/>
    <col min="16" max="16" width="3.44140625" style="1" customWidth="1"/>
    <col min="17" max="17" width="5.6640625" style="1" hidden="1" customWidth="1"/>
    <col min="18" max="18" width="8.6640625" style="1" hidden="1" customWidth="1"/>
    <col min="19" max="19" width="8" style="1" hidden="1" customWidth="1"/>
    <col min="20" max="20" width="10.88671875" style="1" hidden="1" customWidth="1"/>
    <col min="21" max="21" width="5.6640625" style="1" hidden="1" customWidth="1"/>
    <col min="22" max="22" width="8.33203125" style="1" hidden="1" customWidth="1"/>
    <col min="23" max="23" width="11.33203125" style="1" hidden="1" customWidth="1"/>
    <col min="24" max="26" width="10.88671875" style="1" hidden="1" customWidth="1"/>
    <col min="27" max="31" width="10.88671875" style="1" customWidth="1"/>
    <col min="32" max="32" width="6.33203125" style="1" customWidth="1"/>
    <col min="33" max="43" width="5.6640625" style="1" customWidth="1"/>
    <col min="44" max="44" width="7.33203125" style="1" hidden="1" customWidth="1"/>
    <col min="45" max="45" width="9.44140625" style="1" hidden="1" customWidth="1"/>
    <col min="46" max="46" width="9.88671875" style="1" hidden="1" customWidth="1"/>
    <col min="47" max="47" width="13.33203125" style="1" hidden="1" customWidth="1"/>
    <col min="48" max="48" width="5.33203125" style="1" hidden="1" customWidth="1"/>
    <col min="49" max="49" width="9.109375" style="1" hidden="1" customWidth="1"/>
    <col min="50" max="50" width="11.33203125" style="1" hidden="1" customWidth="1"/>
    <col min="51" max="51" width="12.5546875" style="1" hidden="1" customWidth="1"/>
    <col min="52" max="52" width="5.33203125" style="1" hidden="1" customWidth="1"/>
    <col min="53" max="53" width="8.88671875" style="1" hidden="1" customWidth="1"/>
    <col min="54" max="55" width="12.6640625" style="1" hidden="1" customWidth="1"/>
    <col min="56" max="57" width="5.33203125" style="1" hidden="1" customWidth="1"/>
    <col min="58" max="58" width="12" style="1" hidden="1" customWidth="1"/>
    <col min="59" max="59" width="10.5546875" style="1" hidden="1" customWidth="1"/>
    <col min="60" max="60" width="11.33203125" style="1" hidden="1" customWidth="1"/>
    <col min="61" max="61" width="10.33203125" style="1" hidden="1" customWidth="1"/>
    <col min="62" max="62" width="10.5546875" style="1" hidden="1" customWidth="1"/>
    <col min="63" max="63" width="13.109375" style="1" hidden="1" customWidth="1"/>
    <col min="64" max="64" width="11.109375" style="1" hidden="1" customWidth="1"/>
    <col min="65" max="65" width="10.6640625" style="1" hidden="1" customWidth="1"/>
    <col min="66" max="66" width="12.33203125" style="1" hidden="1" customWidth="1"/>
    <col min="67" max="67" width="5.5546875" style="1" hidden="1" customWidth="1"/>
    <col min="68" max="68" width="9" style="1" hidden="1" customWidth="1"/>
    <col min="69" max="69" width="12.33203125" style="1" hidden="1" customWidth="1"/>
    <col min="70" max="70" width="10.44140625" style="1" hidden="1" customWidth="1"/>
    <col min="71" max="71" width="11.6640625" style="1" hidden="1" customWidth="1"/>
    <col min="72" max="72" width="9.33203125" style="1" hidden="1" customWidth="1"/>
    <col min="73" max="73" width="11.6640625" style="1" hidden="1" customWidth="1"/>
    <col min="74" max="74" width="9.109375" style="1" hidden="1" customWidth="1"/>
    <col min="75" max="75" width="12.88671875" style="1" hidden="1" customWidth="1"/>
    <col min="76" max="76" width="10.33203125" style="1" hidden="1" customWidth="1"/>
    <col min="77" max="77" width="11.88671875" style="1" hidden="1" customWidth="1"/>
    <col min="78" max="78" width="10.6640625" style="1" hidden="1" customWidth="1"/>
    <col min="79" max="79" width="13" style="1" hidden="1" customWidth="1"/>
    <col min="80" max="80" width="8.6640625" style="1" hidden="1" customWidth="1"/>
    <col min="81" max="81" width="4.6640625" style="1" hidden="1" customWidth="1"/>
    <col min="82" max="82" width="10.44140625" style="1" hidden="1" customWidth="1"/>
    <col min="83" max="83" width="10.109375" style="1" hidden="1" customWidth="1"/>
    <col min="84" max="84" width="14" style="1" hidden="1" customWidth="1"/>
    <col min="85" max="85" width="6.6640625" style="1" hidden="1" customWidth="1"/>
    <col min="86" max="86" width="8.44140625" style="1" hidden="1" customWidth="1"/>
    <col min="87" max="87" width="8.88671875" style="1" hidden="1" customWidth="1"/>
    <col min="88" max="88" width="10.33203125" style="1" hidden="1" customWidth="1"/>
    <col min="89" max="89" width="5.33203125" style="1" hidden="1" customWidth="1"/>
    <col min="90" max="90" width="7.33203125" style="1" hidden="1" customWidth="1"/>
    <col min="91" max="91" width="9" style="1" hidden="1" customWidth="1"/>
    <col min="92" max="92" width="11.33203125" style="1" hidden="1" customWidth="1"/>
    <col min="93" max="93" width="5.33203125" style="1" hidden="1" customWidth="1"/>
    <col min="94" max="94" width="12.5546875" style="1" hidden="1" customWidth="1"/>
    <col min="95" max="95" width="10.6640625" style="1" hidden="1" customWidth="1"/>
    <col min="96" max="96" width="11.88671875" style="1" hidden="1" customWidth="1"/>
    <col min="97" max="97" width="7.88671875" style="1" hidden="1" customWidth="1"/>
    <col min="98" max="98" width="4" style="1" hidden="1" customWidth="1"/>
    <col min="99" max="99" width="11.88671875" style="1" hidden="1" customWidth="1"/>
    <col min="100" max="100" width="10.5546875" style="1" hidden="1" customWidth="1"/>
    <col min="101" max="101" width="12.33203125" style="1" hidden="1" customWidth="1"/>
    <col min="102" max="102" width="6.6640625" style="1" hidden="1" customWidth="1"/>
    <col min="103" max="103" width="6.5546875" style="1" customWidth="1"/>
    <col min="104" max="104" width="9.88671875" style="1" hidden="1" customWidth="1"/>
    <col min="105" max="105" width="8" style="1" hidden="1" customWidth="1"/>
    <col min="106" max="106" width="11.6640625" style="1" hidden="1" customWidth="1"/>
    <col min="107" max="107" width="3.6640625" style="1" hidden="1" customWidth="1"/>
    <col min="108" max="108" width="4.88671875" style="1" hidden="1" customWidth="1"/>
    <col min="109" max="109" width="14.109375" style="1" hidden="1" customWidth="1"/>
    <col min="110" max="110" width="13" style="1" hidden="1" customWidth="1"/>
    <col min="111" max="111" width="10.88671875" style="1" hidden="1" customWidth="1"/>
    <col min="112" max="112" width="11.44140625" style="1" hidden="1" customWidth="1"/>
    <col min="113" max="113" width="5.33203125" style="1" hidden="1" customWidth="1"/>
    <col min="114" max="114" width="11.6640625" style="1" hidden="1" customWidth="1"/>
    <col min="115" max="115" width="12.33203125" style="1" hidden="1" customWidth="1"/>
    <col min="116" max="116" width="10" style="1" hidden="1" customWidth="1"/>
    <col min="117" max="117" width="15.6640625" style="1" hidden="1" customWidth="1"/>
    <col min="118" max="118" width="15.33203125" style="1" hidden="1" customWidth="1"/>
    <col min="119" max="120" width="12.33203125" style="1" hidden="1" customWidth="1"/>
    <col min="121" max="121" width="12.44140625" style="1" hidden="1" customWidth="1"/>
    <col min="122" max="122" width="25.88671875" style="1" hidden="1" customWidth="1"/>
    <col min="123" max="123" width="13.5546875" style="1" hidden="1" customWidth="1"/>
    <col min="124" max="124" width="10.5546875" style="1" hidden="1" customWidth="1"/>
    <col min="125" max="125" width="9.88671875" style="1" hidden="1" customWidth="1"/>
    <col min="126" max="126" width="9" style="1" hidden="1" customWidth="1"/>
    <col min="127" max="127" width="11.33203125" style="1" hidden="1" customWidth="1"/>
    <col min="128" max="128" width="10.109375" style="1" hidden="1" customWidth="1"/>
    <col min="129" max="129" width="15.44140625" style="1" hidden="1" customWidth="1"/>
    <col min="130" max="130" width="7.88671875" style="1" hidden="1" customWidth="1"/>
    <col min="131" max="131" width="12.33203125" style="1" hidden="1" customWidth="1"/>
    <col min="132" max="132" width="13.33203125" style="1" hidden="1" customWidth="1"/>
    <col min="133" max="133" width="12.33203125" style="1" hidden="1" customWidth="1"/>
    <col min="134" max="134" width="11.44140625" style="1" hidden="1" customWidth="1"/>
    <col min="135" max="135" width="17" style="1" hidden="1" customWidth="1"/>
    <col min="136" max="136" width="11.109375" style="1" hidden="1" customWidth="1"/>
    <col min="137" max="139" width="10.33203125" style="1" hidden="1" customWidth="1"/>
    <col min="140" max="140" width="9.6640625" style="1" hidden="1" customWidth="1"/>
    <col min="141" max="141" width="9.44140625" style="1" hidden="1" customWidth="1"/>
    <col min="142" max="142" width="3.6640625" style="1" hidden="1" customWidth="1"/>
    <col min="143" max="143" width="12.6640625" style="1" hidden="1" customWidth="1"/>
    <col min="144" max="144" width="11.6640625" style="1" hidden="1" customWidth="1"/>
    <col min="145" max="147" width="10.33203125" style="1" hidden="1" customWidth="1"/>
    <col min="148" max="148" width="11" style="1" hidden="1" customWidth="1"/>
    <col min="149" max="149" width="10.33203125" style="1" hidden="1" customWidth="1"/>
    <col min="150" max="150" width="9.88671875" style="1" hidden="1" customWidth="1"/>
    <col min="151" max="151" width="10.33203125" style="1" hidden="1" customWidth="1"/>
    <col min="152" max="152" width="9.88671875" style="1" hidden="1" customWidth="1"/>
    <col min="153" max="153" width="3.88671875" style="1" hidden="1" customWidth="1"/>
    <col min="154" max="154" width="14.6640625" style="1" hidden="1" customWidth="1"/>
    <col min="155" max="155" width="12.5546875" style="1" hidden="1" customWidth="1"/>
    <col min="156" max="164" width="9.88671875" style="1" hidden="1" customWidth="1"/>
    <col min="165" max="165" width="3.5546875" style="1" hidden="1" customWidth="1"/>
    <col min="166" max="166" width="13.88671875" style="1" hidden="1" customWidth="1"/>
    <col min="167" max="167" width="13.6640625" style="1" hidden="1" customWidth="1"/>
    <col min="168" max="168" width="10" style="1" hidden="1" customWidth="1"/>
    <col min="169" max="169" width="9.6640625" style="1" hidden="1" customWidth="1"/>
    <col min="170" max="170" width="9.88671875" style="1" hidden="1" customWidth="1"/>
    <col min="171" max="171" width="11.33203125" style="1" hidden="1" customWidth="1"/>
    <col min="172" max="172" width="10.109375" style="1" hidden="1" customWidth="1"/>
    <col min="173" max="173" width="11.33203125" style="1" hidden="1" customWidth="1"/>
    <col min="174" max="174" width="9.33203125" style="1" hidden="1" customWidth="1"/>
    <col min="175" max="175" width="9.88671875" style="1" hidden="1" customWidth="1"/>
    <col min="176" max="176" width="8.44140625" style="1" hidden="1" customWidth="1"/>
    <col min="177" max="177" width="7.6640625" style="1" hidden="1" customWidth="1"/>
    <col min="178" max="178" width="11.33203125" style="1" hidden="1" customWidth="1"/>
    <col min="179" max="179" width="10.109375" style="1" hidden="1" customWidth="1"/>
    <col min="180" max="180" width="9.88671875" style="1" hidden="1" customWidth="1"/>
    <col min="181" max="181" width="10.88671875" style="1" hidden="1" customWidth="1"/>
    <col min="182" max="182" width="12.33203125" style="1" hidden="1" customWidth="1"/>
    <col min="183" max="183" width="11" style="1" hidden="1" customWidth="1"/>
    <col min="184" max="184" width="12.44140625" style="1" hidden="1" customWidth="1"/>
    <col min="185" max="185" width="12.6640625" style="1" hidden="1" customWidth="1"/>
    <col min="186" max="186" width="10.33203125" style="1" customWidth="1"/>
    <col min="187" max="189" width="9.88671875" style="1" customWidth="1"/>
    <col min="190" max="190" width="10.6640625" style="1" customWidth="1"/>
    <col min="191" max="200" width="9.88671875" style="1" customWidth="1"/>
    <col min="201" max="201" width="8.33203125" style="1" customWidth="1"/>
    <col min="202" max="202" width="8.33203125" style="1" hidden="1" customWidth="1"/>
    <col min="203" max="203" width="12.33203125" style="1" hidden="1" customWidth="1"/>
    <col min="204" max="204" width="12.88671875" style="1" hidden="1" customWidth="1"/>
    <col min="205" max="205" width="12.109375" style="1" hidden="1" customWidth="1"/>
    <col min="206" max="206" width="12.5546875" style="1" hidden="1" customWidth="1"/>
    <col min="207" max="207" width="7.44140625" style="1" hidden="1" customWidth="1"/>
    <col min="208" max="208" width="9.44140625" style="1" hidden="1" customWidth="1"/>
    <col min="209" max="209" width="10.88671875" style="1" hidden="1" customWidth="1"/>
    <col min="210" max="210" width="12.6640625" style="1" hidden="1" customWidth="1"/>
    <col min="211" max="211" width="11.88671875" style="1" hidden="1" customWidth="1"/>
    <col min="212" max="212" width="17.5546875" style="1" hidden="1" customWidth="1"/>
    <col min="213" max="213" width="13.5546875" style="1" hidden="1" customWidth="1"/>
    <col min="214" max="214" width="12.6640625" style="1" hidden="1" customWidth="1"/>
    <col min="215" max="215" width="15.33203125" style="1" hidden="1" customWidth="1"/>
    <col min="216" max="216" width="12.6640625" style="1" hidden="1" customWidth="1"/>
    <col min="217" max="217" width="13.6640625" style="1" hidden="1" customWidth="1"/>
    <col min="218" max="218" width="5.109375" style="1" hidden="1" customWidth="1"/>
    <col min="219" max="219" width="12.33203125" style="1" hidden="1" customWidth="1"/>
    <col min="220" max="221" width="12.6640625" style="1" hidden="1" customWidth="1"/>
    <col min="222" max="222" width="14.5546875" style="1" hidden="1" customWidth="1"/>
    <col min="223" max="227" width="12.6640625" style="1" hidden="1" customWidth="1"/>
    <col min="228" max="228" width="12.33203125" style="1" hidden="1" customWidth="1"/>
    <col min="229" max="229" width="10.109375" style="1" hidden="1" customWidth="1"/>
    <col min="230" max="232" width="12.6640625" style="1" hidden="1" customWidth="1"/>
    <col min="233" max="233" width="5.6640625" style="1" hidden="1" customWidth="1"/>
    <col min="234" max="234" width="14.33203125" style="1" hidden="1" customWidth="1"/>
    <col min="235" max="235" width="10.88671875" style="1" hidden="1" customWidth="1"/>
    <col min="236" max="236" width="12" style="1" hidden="1" customWidth="1"/>
    <col min="237" max="237" width="5.88671875" style="1" hidden="1" customWidth="1"/>
    <col min="238" max="238" width="14.6640625" style="1" hidden="1" customWidth="1"/>
    <col min="239" max="239" width="10.88671875" style="1" hidden="1" customWidth="1"/>
    <col min="240" max="240" width="12.5546875" style="1" hidden="1" customWidth="1"/>
    <col min="241" max="241" width="4.88671875" style="1" hidden="1" customWidth="1"/>
    <col min="242" max="242" width="16.33203125" style="1" hidden="1" customWidth="1"/>
    <col min="243" max="243" width="14.33203125" style="1" hidden="1" customWidth="1"/>
    <col min="244" max="244" width="12.88671875" style="1" hidden="1" customWidth="1"/>
    <col min="245" max="245" width="10.33203125" style="1" hidden="1" customWidth="1"/>
    <col min="246" max="246" width="7" style="1" hidden="1" customWidth="1"/>
    <col min="247" max="247" width="17.33203125" style="1" hidden="1" customWidth="1"/>
    <col min="248" max="248" width="15" style="1" hidden="1" customWidth="1"/>
    <col min="249" max="249" width="12.88671875" style="1" hidden="1" customWidth="1"/>
    <col min="250" max="250" width="15.44140625" style="1" hidden="1" customWidth="1"/>
    <col min="251" max="251" width="15.109375" style="1" hidden="1" customWidth="1"/>
    <col min="252" max="252" width="13.6640625" style="1" hidden="1" customWidth="1"/>
    <col min="253" max="253" width="5.6640625" style="1" hidden="1" customWidth="1"/>
    <col min="254" max="254" width="13.5546875" style="1" hidden="1" customWidth="1"/>
    <col min="255" max="255" width="18" style="1" hidden="1" customWidth="1"/>
    <col min="256" max="256" width="16.88671875" style="1" hidden="1" customWidth="1"/>
    <col min="257" max="257" width="14" style="1" hidden="1" customWidth="1"/>
    <col min="258" max="258" width="10.33203125" style="1" hidden="1" customWidth="1"/>
    <col min="259" max="259" width="10.88671875" style="1" hidden="1" customWidth="1"/>
    <col min="260" max="260" width="8.44140625" style="1" hidden="1" customWidth="1"/>
    <col min="261" max="261" width="6.88671875" style="1" hidden="1" customWidth="1"/>
    <col min="262" max="262" width="7.109375" style="1" hidden="1" customWidth="1"/>
    <col min="263" max="263" width="7.6640625" style="1" hidden="1" customWidth="1"/>
    <col min="264" max="264" width="10.88671875" style="1" hidden="1" customWidth="1"/>
    <col min="265" max="265" width="12.44140625" style="1" hidden="1" customWidth="1"/>
    <col min="266" max="266" width="11.44140625" style="1" hidden="1" customWidth="1"/>
    <col min="267" max="267" width="12" style="1" hidden="1" customWidth="1"/>
    <col min="268" max="268" width="11.109375" style="1" hidden="1" customWidth="1"/>
    <col min="269" max="269" width="12" style="1" hidden="1" customWidth="1"/>
    <col min="270" max="270" width="12.33203125" style="1" hidden="1" customWidth="1"/>
    <col min="271" max="272" width="13" style="1" hidden="1" customWidth="1"/>
    <col min="273" max="273" width="4.33203125" style="1" hidden="1" customWidth="1"/>
    <col min="274" max="274" width="12" style="258" hidden="1" customWidth="1"/>
    <col min="275" max="275" width="9.109375" style="258" hidden="1" customWidth="1"/>
    <col min="276" max="276" width="9.5546875" style="258" hidden="1" customWidth="1"/>
    <col min="277" max="277" width="10.6640625" style="258" hidden="1" customWidth="1"/>
    <col min="278" max="278" width="6.5546875" style="258" hidden="1" customWidth="1"/>
    <col min="279" max="279" width="10.33203125" style="258" hidden="1" customWidth="1"/>
    <col min="280" max="280" width="10.6640625" style="258" hidden="1" customWidth="1"/>
    <col min="281" max="281" width="7.109375" style="258" hidden="1" customWidth="1"/>
    <col min="282" max="282" width="1.33203125" style="258" hidden="1" customWidth="1"/>
    <col min="283" max="283" width="10" style="258" hidden="1" customWidth="1"/>
    <col min="284" max="284" width="12.88671875" style="258" hidden="1" customWidth="1"/>
    <col min="285" max="285" width="11.33203125" style="258" hidden="1" customWidth="1"/>
    <col min="286" max="286" width="12.6640625" style="1" hidden="1" customWidth="1"/>
    <col min="287" max="287" width="9.6640625" style="1" hidden="1" customWidth="1"/>
    <col min="288" max="288" width="0" style="1" hidden="1" customWidth="1"/>
    <col min="289" max="16384" width="9.109375" style="1"/>
  </cols>
  <sheetData>
    <row r="1" spans="1:288" ht="9.6" customHeight="1" x14ac:dyDescent="0.25">
      <c r="L1" s="3"/>
      <c r="M1" s="3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511"/>
      <c r="DJ1" s="511"/>
      <c r="DK1" s="511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511"/>
      <c r="EA1" s="511"/>
      <c r="EB1" s="511"/>
      <c r="EC1" s="511"/>
      <c r="ED1" s="511"/>
      <c r="EE1" s="511"/>
      <c r="EF1" s="155"/>
      <c r="EG1" s="155"/>
      <c r="EH1" s="155"/>
      <c r="EI1" s="155"/>
      <c r="EJ1" s="155"/>
      <c r="EK1" s="155"/>
      <c r="EL1" s="511"/>
      <c r="EM1" s="511"/>
      <c r="EN1" s="511"/>
      <c r="EO1" s="511"/>
      <c r="EP1" s="511"/>
      <c r="EQ1" s="511"/>
      <c r="ER1" s="511"/>
      <c r="ES1" s="511"/>
      <c r="ET1" s="511"/>
      <c r="EU1" s="511"/>
      <c r="EV1" s="511"/>
      <c r="EW1" s="511"/>
      <c r="EX1" s="511"/>
      <c r="EY1" s="511"/>
      <c r="EZ1" s="511"/>
      <c r="FA1" s="511"/>
      <c r="FB1" s="511"/>
      <c r="FC1" s="511"/>
      <c r="FD1" s="511"/>
      <c r="FE1" s="511"/>
      <c r="FF1" s="511"/>
      <c r="FG1" s="511"/>
      <c r="FH1" s="511"/>
      <c r="FI1" s="511"/>
      <c r="FJ1" s="511"/>
      <c r="FK1" s="511"/>
      <c r="FL1" s="511"/>
      <c r="FM1" s="511"/>
      <c r="FN1" s="511"/>
      <c r="FO1" s="511"/>
      <c r="FP1" s="511"/>
      <c r="FQ1" s="511"/>
      <c r="FR1" s="511"/>
      <c r="FS1" s="511"/>
      <c r="FT1" s="511"/>
      <c r="FU1" s="511"/>
      <c r="FV1" s="511"/>
      <c r="FW1" s="511"/>
      <c r="FX1" s="511"/>
      <c r="FY1" s="511"/>
      <c r="FZ1" s="511"/>
      <c r="GA1" s="511"/>
      <c r="GB1" s="511"/>
      <c r="GC1" s="511"/>
      <c r="GD1" s="511"/>
      <c r="GE1" s="511"/>
      <c r="GF1" s="511"/>
      <c r="GG1" s="511"/>
      <c r="GH1" s="511"/>
      <c r="GI1" s="511"/>
      <c r="GJ1" s="511"/>
      <c r="GK1" s="511"/>
      <c r="GL1" s="511"/>
      <c r="GM1" s="511"/>
      <c r="GN1" s="511"/>
      <c r="GO1" s="511"/>
      <c r="GP1" s="511"/>
      <c r="GQ1" s="511"/>
      <c r="GR1" s="511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F1" s="4"/>
    </row>
    <row r="2" spans="1:288" x14ac:dyDescent="0.25">
      <c r="L2" s="317" t="s">
        <v>0</v>
      </c>
      <c r="M2" s="317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511"/>
      <c r="DJ2" s="511"/>
      <c r="DK2" s="511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511"/>
      <c r="EA2" s="511"/>
      <c r="EB2" s="511"/>
      <c r="EC2" s="511"/>
      <c r="ED2" s="511"/>
      <c r="EE2" s="511"/>
      <c r="EF2" s="155"/>
      <c r="EG2" s="155"/>
      <c r="EH2" s="155"/>
      <c r="EI2" s="155"/>
      <c r="EJ2" s="155"/>
      <c r="EK2" s="155"/>
      <c r="EL2" s="511"/>
      <c r="EM2" s="511"/>
      <c r="EN2" s="511"/>
      <c r="EO2" s="511"/>
      <c r="EP2" s="511"/>
      <c r="EQ2" s="511"/>
      <c r="ER2" s="511"/>
      <c r="ES2" s="511"/>
      <c r="ET2" s="511"/>
      <c r="EU2" s="511"/>
      <c r="EV2" s="511"/>
      <c r="EW2" s="511"/>
      <c r="EX2" s="511"/>
      <c r="EY2" s="511"/>
      <c r="EZ2" s="511"/>
      <c r="FA2" s="511"/>
      <c r="FB2" s="511"/>
      <c r="FC2" s="511"/>
      <c r="FD2" s="511"/>
      <c r="FE2" s="511"/>
      <c r="FF2" s="511"/>
      <c r="FG2" s="511"/>
      <c r="FH2" s="511"/>
      <c r="FI2" s="511"/>
      <c r="FJ2" s="511"/>
      <c r="FK2" s="511"/>
      <c r="FL2" s="511"/>
      <c r="FM2" s="511"/>
      <c r="FN2" s="511"/>
      <c r="FO2" s="511"/>
      <c r="FP2" s="511"/>
      <c r="FQ2" s="511"/>
      <c r="FR2" s="511"/>
      <c r="FS2" s="511"/>
      <c r="FT2" s="511"/>
      <c r="FU2" s="511"/>
      <c r="FV2" s="511"/>
      <c r="FW2" s="511"/>
      <c r="FX2" s="511"/>
      <c r="FY2" s="511"/>
      <c r="FZ2" s="511"/>
      <c r="GA2" s="511"/>
      <c r="GB2" s="511"/>
      <c r="GC2" s="511"/>
      <c r="GD2" s="511"/>
      <c r="GE2" s="511"/>
      <c r="GF2" s="511"/>
      <c r="GG2" s="511"/>
      <c r="GH2" s="511"/>
      <c r="GI2" s="511"/>
      <c r="GJ2" s="511"/>
      <c r="GK2" s="511"/>
      <c r="GL2" s="511"/>
      <c r="GM2" s="511"/>
      <c r="GN2" s="511"/>
      <c r="GO2" s="511"/>
      <c r="GP2" s="511"/>
      <c r="GQ2" s="511"/>
      <c r="GR2" s="511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  <c r="IX2" s="155"/>
      <c r="IY2" s="155"/>
      <c r="IZ2" s="155"/>
      <c r="JA2" s="155"/>
      <c r="JF2" s="4"/>
    </row>
    <row r="3" spans="1:288" x14ac:dyDescent="0.25">
      <c r="L3" s="726" t="s">
        <v>644</v>
      </c>
      <c r="M3" s="317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511"/>
      <c r="DJ3" s="511"/>
      <c r="DK3" s="511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511"/>
      <c r="EA3" s="511"/>
      <c r="EB3" s="511"/>
      <c r="EC3" s="511"/>
      <c r="ED3" s="511"/>
      <c r="EE3" s="511"/>
      <c r="EF3" s="155"/>
      <c r="EG3" s="155"/>
      <c r="EH3" s="155"/>
      <c r="EI3" s="155"/>
      <c r="EJ3" s="155"/>
      <c r="EK3" s="155"/>
      <c r="EL3" s="511"/>
      <c r="EM3" s="511"/>
      <c r="EN3" s="511"/>
      <c r="EO3" s="511"/>
      <c r="EP3" s="511"/>
      <c r="EQ3" s="511"/>
      <c r="ER3" s="511"/>
      <c r="ES3" s="511"/>
      <c r="ET3" s="511"/>
      <c r="EU3" s="511"/>
      <c r="EV3" s="511"/>
      <c r="EW3" s="511"/>
      <c r="EX3" s="511"/>
      <c r="EY3" s="511"/>
      <c r="EZ3" s="511"/>
      <c r="FA3" s="511"/>
      <c r="FB3" s="511"/>
      <c r="FC3" s="511"/>
      <c r="FD3" s="511"/>
      <c r="FE3" s="511"/>
      <c r="FF3" s="511"/>
      <c r="FG3" s="511"/>
      <c r="FH3" s="511"/>
      <c r="FI3" s="511"/>
      <c r="FJ3" s="511"/>
      <c r="FK3" s="511"/>
      <c r="FL3" s="511"/>
      <c r="FM3" s="511"/>
      <c r="FN3" s="511"/>
      <c r="FO3" s="511"/>
      <c r="FP3" s="511"/>
      <c r="FQ3" s="511"/>
      <c r="FR3" s="511"/>
      <c r="FS3" s="511"/>
      <c r="FT3" s="511"/>
      <c r="FU3" s="511"/>
      <c r="FV3" s="511"/>
      <c r="FW3" s="511"/>
      <c r="FX3" s="511"/>
      <c r="FY3" s="511"/>
      <c r="FZ3" s="511"/>
      <c r="GA3" s="511"/>
      <c r="GB3" s="511"/>
      <c r="GC3" s="511"/>
      <c r="GD3" s="511"/>
      <c r="GE3" s="511"/>
      <c r="GF3" s="511"/>
      <c r="GG3" s="511"/>
      <c r="GH3" s="511"/>
      <c r="GI3" s="511"/>
      <c r="GJ3" s="511"/>
      <c r="GK3" s="511"/>
      <c r="GL3" s="511"/>
      <c r="GM3" s="511"/>
      <c r="GN3" s="511"/>
      <c r="GO3" s="511"/>
      <c r="GP3" s="511"/>
      <c r="GQ3" s="511"/>
      <c r="GR3" s="511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F3" s="4"/>
    </row>
    <row r="4" spans="1:288" ht="18.600000000000001" customHeight="1" x14ac:dyDescent="0.25">
      <c r="A4" s="933" t="s">
        <v>571</v>
      </c>
      <c r="B4" s="933"/>
      <c r="C4" s="933"/>
      <c r="D4" s="933"/>
      <c r="E4" s="933"/>
      <c r="F4" s="933"/>
      <c r="G4" s="933"/>
      <c r="H4" s="933"/>
      <c r="I4" s="933"/>
      <c r="J4" s="933"/>
      <c r="K4" s="933"/>
      <c r="L4" s="933"/>
      <c r="M4" s="933"/>
      <c r="N4" s="933"/>
      <c r="O4" s="715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  <c r="CC4" s="715"/>
      <c r="CD4" s="715"/>
      <c r="CE4" s="715"/>
      <c r="CF4" s="715"/>
      <c r="CG4" s="715"/>
      <c r="CH4" s="715"/>
      <c r="CI4" s="715"/>
      <c r="CJ4" s="715"/>
      <c r="CK4" s="715"/>
      <c r="CL4" s="715"/>
      <c r="CM4" s="715"/>
      <c r="CN4" s="715"/>
      <c r="CO4" s="715"/>
      <c r="CP4" s="731"/>
      <c r="CQ4" s="731"/>
      <c r="CR4" s="731"/>
      <c r="CS4" s="731"/>
      <c r="CT4" s="755"/>
      <c r="CU4" s="731"/>
      <c r="CV4" s="731"/>
      <c r="CW4" s="731"/>
      <c r="CX4" s="731"/>
      <c r="CY4" s="715"/>
      <c r="CZ4" s="715"/>
      <c r="DA4" s="715"/>
      <c r="DB4" s="715"/>
      <c r="DC4" s="715"/>
      <c r="DD4" s="715"/>
      <c r="DE4" s="715"/>
      <c r="DF4" s="715"/>
      <c r="DG4" s="715"/>
      <c r="DH4" s="715"/>
      <c r="DI4" s="715"/>
      <c r="DJ4" s="715"/>
      <c r="DK4" s="715"/>
      <c r="DL4" s="715"/>
      <c r="DM4" s="715"/>
      <c r="DN4" s="715"/>
      <c r="DO4" s="715"/>
      <c r="DP4" s="715"/>
      <c r="DQ4" s="715"/>
      <c r="DR4" s="715"/>
      <c r="DS4" s="715"/>
      <c r="DT4" s="715"/>
      <c r="DU4" s="715"/>
      <c r="DV4" s="715"/>
      <c r="DW4" s="715"/>
      <c r="DX4" s="715"/>
      <c r="DY4" s="715"/>
      <c r="DZ4" s="715"/>
      <c r="EA4" s="715"/>
      <c r="EB4" s="715"/>
      <c r="EC4" s="715"/>
      <c r="ED4" s="715"/>
      <c r="EE4" s="715"/>
      <c r="EF4" s="715"/>
      <c r="EG4" s="715"/>
      <c r="EH4" s="715"/>
      <c r="EI4" s="715"/>
      <c r="EJ4" s="715"/>
      <c r="EK4" s="715"/>
      <c r="EL4" s="715"/>
      <c r="EM4" s="715"/>
      <c r="EN4" s="715"/>
      <c r="EO4" s="715"/>
      <c r="EP4" s="715"/>
      <c r="EQ4" s="715"/>
      <c r="ER4" s="715"/>
      <c r="ES4" s="715"/>
      <c r="ET4" s="715"/>
      <c r="EU4" s="715"/>
      <c r="EV4" s="715"/>
      <c r="EW4" s="715"/>
      <c r="EX4" s="715"/>
      <c r="EY4" s="715"/>
      <c r="EZ4" s="715"/>
      <c r="FA4" s="715"/>
      <c r="FB4" s="715"/>
      <c r="FC4" s="715"/>
      <c r="FD4" s="715"/>
      <c r="FE4" s="715"/>
      <c r="FF4" s="715"/>
      <c r="FG4" s="715"/>
      <c r="FH4" s="715"/>
      <c r="FI4" s="715"/>
      <c r="FJ4" s="715"/>
      <c r="FK4" s="715"/>
      <c r="FL4" s="715"/>
      <c r="FM4" s="715"/>
      <c r="FN4" s="715"/>
      <c r="FO4" s="715"/>
      <c r="FP4" s="715"/>
      <c r="FQ4" s="715"/>
      <c r="FR4" s="715"/>
      <c r="FS4" s="715"/>
      <c r="FT4" s="715"/>
      <c r="FU4" s="715"/>
      <c r="FV4" s="715"/>
      <c r="FW4" s="715"/>
      <c r="FX4" s="715"/>
      <c r="FY4" s="715"/>
      <c r="FZ4" s="715"/>
      <c r="GA4" s="715"/>
      <c r="GB4" s="715" t="s">
        <v>431</v>
      </c>
      <c r="GC4" s="715"/>
      <c r="GD4" s="715"/>
      <c r="GE4" s="715"/>
      <c r="GF4" s="715"/>
      <c r="GG4" s="715"/>
      <c r="GH4" s="715"/>
      <c r="GI4" s="715"/>
      <c r="GJ4" s="715"/>
      <c r="GK4" s="715"/>
      <c r="GL4" s="715"/>
      <c r="GM4" s="715"/>
      <c r="GN4" s="715"/>
      <c r="GO4" s="715"/>
      <c r="GP4" s="715"/>
      <c r="GQ4" s="715"/>
      <c r="GR4" s="715"/>
      <c r="GS4" s="715"/>
      <c r="GT4" s="715"/>
      <c r="GU4" s="715"/>
      <c r="GV4" s="715"/>
      <c r="GW4" s="715"/>
      <c r="GX4" s="715"/>
      <c r="GY4" s="715"/>
      <c r="GZ4" s="715"/>
      <c r="HA4" s="715"/>
      <c r="HB4" s="715"/>
      <c r="HC4" s="715"/>
      <c r="HD4" s="715"/>
      <c r="HE4" s="715"/>
      <c r="HF4" s="715"/>
      <c r="HG4" s="715"/>
      <c r="HH4" s="715"/>
      <c r="HI4" s="715"/>
      <c r="HJ4" s="715"/>
      <c r="HK4" s="715"/>
      <c r="HL4" s="715"/>
      <c r="HM4" s="715"/>
      <c r="HN4" s="715"/>
      <c r="HO4" s="715"/>
      <c r="HP4" s="715"/>
      <c r="HQ4" s="715"/>
      <c r="HR4" s="715"/>
      <c r="HS4" s="715"/>
      <c r="HT4" s="715"/>
      <c r="HU4" s="715"/>
      <c r="HV4" s="715"/>
      <c r="HW4" s="715"/>
      <c r="HX4" s="715"/>
      <c r="HY4" s="715"/>
      <c r="HZ4" s="715"/>
      <c r="IA4" s="715"/>
      <c r="IB4" s="715"/>
      <c r="IC4" s="715"/>
      <c r="ID4" s="715"/>
      <c r="IE4" s="715"/>
      <c r="IF4" s="715"/>
      <c r="IG4" s="715"/>
      <c r="IH4" s="715"/>
      <c r="II4" s="715"/>
      <c r="IJ4" s="715"/>
      <c r="IK4" s="715"/>
      <c r="IL4" s="715"/>
      <c r="IM4" s="715"/>
      <c r="IN4" s="715"/>
      <c r="IO4" s="715"/>
      <c r="IP4" s="715"/>
      <c r="IQ4" s="715"/>
      <c r="IR4" s="715"/>
      <c r="IS4" s="715"/>
      <c r="IT4" s="715"/>
      <c r="IU4" s="715"/>
      <c r="IV4" s="715"/>
      <c r="IW4" s="715"/>
      <c r="IX4" s="715"/>
      <c r="IY4" s="715"/>
      <c r="IZ4" s="715"/>
      <c r="JA4" s="715"/>
      <c r="JB4" s="159"/>
      <c r="JC4" s="159"/>
      <c r="JD4" s="159"/>
      <c r="JE4" s="159"/>
      <c r="JF4" s="159"/>
      <c r="JG4" s="159"/>
      <c r="JH4" s="159"/>
    </row>
    <row r="5" spans="1:288" x14ac:dyDescent="0.25">
      <c r="A5" s="715"/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74"/>
      <c r="O5" s="715"/>
      <c r="P5" s="790"/>
      <c r="Q5" s="790"/>
      <c r="R5" s="790"/>
      <c r="S5" s="790"/>
      <c r="T5" s="790"/>
      <c r="U5" s="790"/>
      <c r="V5" s="790"/>
      <c r="W5" s="790"/>
      <c r="X5" s="790"/>
      <c r="Y5" s="790"/>
      <c r="Z5" s="790"/>
      <c r="AA5" s="790"/>
      <c r="AB5" s="790"/>
      <c r="AC5" s="790"/>
      <c r="AD5" s="790"/>
      <c r="AE5" s="790"/>
      <c r="AF5" s="790"/>
      <c r="AG5" s="790"/>
      <c r="AH5" s="790"/>
      <c r="AI5" s="790"/>
      <c r="AJ5" s="790"/>
      <c r="AK5" s="790"/>
      <c r="AL5" s="790"/>
      <c r="AM5" s="790"/>
      <c r="AN5" s="790"/>
      <c r="AO5" s="790"/>
      <c r="AP5" s="790"/>
      <c r="AQ5" s="790"/>
      <c r="AS5" s="715"/>
      <c r="AT5" s="715"/>
      <c r="AU5" s="715"/>
      <c r="AV5" s="715"/>
      <c r="AW5" s="715"/>
      <c r="AX5" s="715"/>
      <c r="AY5" s="715"/>
      <c r="AZ5" s="715"/>
      <c r="BA5" s="715"/>
      <c r="BB5" s="715"/>
      <c r="BC5" s="715"/>
      <c r="BD5" s="715"/>
      <c r="BE5" s="715"/>
      <c r="BF5" s="715"/>
      <c r="BG5" s="715"/>
      <c r="BH5" s="715"/>
      <c r="BI5" s="715"/>
      <c r="BJ5" s="715"/>
      <c r="BK5" s="715"/>
      <c r="BL5" s="715"/>
      <c r="BM5" s="715"/>
      <c r="BN5" s="715"/>
      <c r="BO5" s="715"/>
      <c r="BP5" s="715"/>
      <c r="BQ5" s="715"/>
      <c r="BR5" s="715"/>
      <c r="BS5" s="715"/>
      <c r="BT5" s="715"/>
      <c r="BU5" s="715"/>
      <c r="BV5" s="715"/>
      <c r="BW5" s="715"/>
      <c r="BX5" s="715"/>
      <c r="BY5" s="715"/>
      <c r="BZ5" s="715"/>
      <c r="CA5" s="715"/>
      <c r="CB5" s="715"/>
      <c r="CC5" s="715"/>
      <c r="CD5" s="715"/>
      <c r="CE5" s="715"/>
      <c r="CF5" s="715"/>
      <c r="CG5" s="715"/>
      <c r="CH5" s="715"/>
      <c r="CI5" s="715"/>
      <c r="CJ5" s="715"/>
      <c r="CK5" s="715"/>
      <c r="CL5" s="715"/>
      <c r="CM5" s="715"/>
      <c r="CN5" s="715"/>
      <c r="CO5" s="715"/>
      <c r="CP5" s="731"/>
      <c r="CQ5" s="731"/>
      <c r="CR5" s="731"/>
      <c r="CS5" s="731"/>
      <c r="CT5" s="755"/>
      <c r="CU5" s="731"/>
      <c r="CV5" s="731"/>
      <c r="CW5" s="731"/>
      <c r="CX5" s="731"/>
      <c r="CY5" s="715"/>
      <c r="CZ5" s="715"/>
      <c r="DA5" s="715"/>
      <c r="DB5" s="715"/>
      <c r="DC5" s="715"/>
      <c r="DD5" s="715"/>
      <c r="DE5" s="715"/>
      <c r="DF5" s="715"/>
      <c r="DG5" s="715"/>
      <c r="DH5" s="715"/>
      <c r="DI5" s="715"/>
      <c r="DJ5" s="715"/>
      <c r="DK5" s="715"/>
      <c r="DL5" s="715"/>
      <c r="DM5" s="715"/>
      <c r="DN5" s="715"/>
      <c r="DO5" s="715"/>
      <c r="DP5" s="715"/>
      <c r="DQ5" s="715"/>
      <c r="DR5" s="715"/>
      <c r="DS5" s="715"/>
      <c r="DT5" s="715"/>
      <c r="DU5" s="715"/>
      <c r="DV5" s="715"/>
      <c r="DW5" s="715"/>
      <c r="DX5" s="715"/>
      <c r="DY5" s="715"/>
      <c r="DZ5" s="715"/>
      <c r="EA5" s="715"/>
      <c r="EB5" s="715"/>
      <c r="EC5" s="715"/>
      <c r="ED5" s="715"/>
      <c r="EE5" s="715"/>
      <c r="EF5" s="715"/>
      <c r="EG5" s="715"/>
      <c r="EH5" s="715"/>
      <c r="EI5" s="715"/>
      <c r="EJ5" s="715"/>
      <c r="EK5" s="715"/>
      <c r="EL5" s="715"/>
      <c r="EM5" s="715"/>
      <c r="EN5" s="715"/>
      <c r="EO5" s="715"/>
      <c r="EP5" s="715"/>
      <c r="EQ5" s="715"/>
      <c r="ER5" s="715"/>
      <c r="ES5" s="715"/>
      <c r="ET5" s="715"/>
      <c r="EU5" s="715"/>
      <c r="EV5" s="715"/>
      <c r="EW5" s="715"/>
      <c r="EX5" s="715"/>
      <c r="EY5" s="715"/>
      <c r="EZ5" s="715"/>
      <c r="FA5" s="715"/>
      <c r="FB5" s="715"/>
      <c r="FC5" s="715"/>
      <c r="FD5" s="715"/>
      <c r="FE5" s="715"/>
      <c r="FF5" s="715"/>
      <c r="FG5" s="715"/>
      <c r="FH5" s="715"/>
      <c r="FI5" s="715"/>
      <c r="FJ5" s="715"/>
      <c r="FK5" s="715"/>
      <c r="FL5" s="715"/>
      <c r="FM5" s="715"/>
      <c r="FN5" s="715"/>
      <c r="FO5" s="715"/>
      <c r="FP5" s="715"/>
      <c r="FQ5" s="715"/>
      <c r="FR5" s="715"/>
      <c r="FS5" s="715"/>
      <c r="FT5" s="715"/>
      <c r="FU5" s="715"/>
      <c r="FV5" s="715"/>
      <c r="FW5" s="715"/>
      <c r="FX5" s="715"/>
      <c r="FY5" s="715"/>
      <c r="FZ5" s="715"/>
      <c r="GA5" s="715"/>
      <c r="GB5" s="715"/>
      <c r="GC5" s="715"/>
      <c r="GD5" s="715"/>
      <c r="GE5" s="715"/>
      <c r="GF5" s="715"/>
      <c r="GG5" s="715"/>
      <c r="GH5" s="715"/>
      <c r="GI5" s="715"/>
      <c r="GJ5" s="715"/>
      <c r="GK5" s="715"/>
      <c r="GL5" s="715"/>
      <c r="GM5" s="715"/>
      <c r="GN5" s="715"/>
      <c r="GO5" s="715"/>
      <c r="GP5" s="715"/>
      <c r="GQ5" s="715"/>
      <c r="GR5" s="715"/>
      <c r="GS5" s="715"/>
      <c r="GT5" s="715"/>
      <c r="GU5" s="715"/>
      <c r="GV5" s="715"/>
      <c r="GW5" s="715"/>
      <c r="GX5" s="715"/>
      <c r="GY5" s="715"/>
      <c r="GZ5" s="715"/>
      <c r="HA5" s="715"/>
      <c r="HB5" s="715"/>
      <c r="HC5" s="715"/>
      <c r="HD5" s="715"/>
      <c r="HE5" s="715"/>
      <c r="HF5" s="715"/>
      <c r="HG5" s="715"/>
      <c r="HH5" s="715"/>
      <c r="HI5" s="715"/>
      <c r="HJ5" s="715"/>
      <c r="HK5" s="715"/>
      <c r="HL5" s="715"/>
      <c r="HM5" s="715"/>
      <c r="HN5" s="715"/>
      <c r="HO5" s="715"/>
      <c r="HP5" s="715"/>
      <c r="HQ5" s="715"/>
      <c r="HR5" s="715"/>
      <c r="HS5" s="715"/>
      <c r="HT5" s="715"/>
      <c r="HU5" s="715"/>
      <c r="HV5" s="715"/>
      <c r="HW5" s="715"/>
      <c r="HX5" s="715"/>
      <c r="HY5" s="715"/>
      <c r="HZ5" s="715"/>
      <c r="IA5" s="715"/>
      <c r="IB5" s="715"/>
      <c r="IC5" s="715"/>
      <c r="ID5" s="715"/>
      <c r="IE5" s="715"/>
      <c r="IF5" s="715"/>
      <c r="IG5" s="715"/>
      <c r="IH5" s="715"/>
      <c r="II5" s="715"/>
      <c r="IJ5" s="715"/>
      <c r="IK5" s="715"/>
      <c r="IL5" s="715"/>
      <c r="IM5" s="715"/>
      <c r="IN5" s="715"/>
      <c r="IO5" s="715"/>
      <c r="IP5" s="715"/>
      <c r="IQ5" s="715"/>
      <c r="IR5" s="715"/>
      <c r="IS5" s="715"/>
      <c r="IT5" s="715"/>
      <c r="IU5" s="715"/>
      <c r="IV5" s="715"/>
      <c r="IW5" s="715"/>
      <c r="IX5" s="715"/>
      <c r="IY5" s="715"/>
      <c r="IZ5" s="715"/>
      <c r="JA5" s="715"/>
      <c r="JB5" s="159"/>
      <c r="JC5" s="159"/>
      <c r="JD5" s="159"/>
      <c r="JE5" s="159"/>
      <c r="JF5" s="159"/>
      <c r="JG5" s="159"/>
      <c r="JH5" s="159"/>
    </row>
    <row r="6" spans="1:288" ht="19.95" customHeight="1" x14ac:dyDescent="0.25">
      <c r="A6" s="160" t="s">
        <v>173</v>
      </c>
    </row>
    <row r="7" spans="1:288" ht="75.599999999999994" customHeight="1" x14ac:dyDescent="0.25">
      <c r="A7" s="934" t="s">
        <v>2</v>
      </c>
      <c r="B7" s="934" t="s">
        <v>116</v>
      </c>
      <c r="C7" s="934" t="s">
        <v>5</v>
      </c>
      <c r="D7" s="936" t="s">
        <v>549</v>
      </c>
      <c r="E7" s="937"/>
      <c r="F7" s="937"/>
      <c r="G7" s="937"/>
      <c r="H7" s="938"/>
      <c r="I7" s="939" t="s">
        <v>462</v>
      </c>
      <c r="J7" s="252" t="s">
        <v>8</v>
      </c>
      <c r="K7" s="939" t="s">
        <v>463</v>
      </c>
      <c r="L7" s="725" t="s">
        <v>8</v>
      </c>
      <c r="M7" s="939" t="s">
        <v>579</v>
      </c>
      <c r="N7" s="252" t="s">
        <v>8</v>
      </c>
      <c r="O7" s="161"/>
      <c r="P7" s="161"/>
      <c r="Q7" s="783" t="s">
        <v>590</v>
      </c>
      <c r="R7" s="940" t="s">
        <v>484</v>
      </c>
      <c r="S7" s="929" t="s">
        <v>632</v>
      </c>
      <c r="T7" s="919" t="s">
        <v>633</v>
      </c>
      <c r="U7" s="161"/>
      <c r="V7" s="929" t="s">
        <v>634</v>
      </c>
      <c r="W7" s="919" t="s">
        <v>635</v>
      </c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783" t="s">
        <v>590</v>
      </c>
      <c r="AS7" s="928" t="s">
        <v>481</v>
      </c>
      <c r="AT7" s="929" t="s">
        <v>482</v>
      </c>
      <c r="AU7" s="919" t="s">
        <v>483</v>
      </c>
      <c r="AV7" s="161"/>
      <c r="AW7" s="928" t="s">
        <v>484</v>
      </c>
      <c r="AX7" s="929" t="s">
        <v>485</v>
      </c>
      <c r="AY7" s="919" t="s">
        <v>486</v>
      </c>
      <c r="AZ7" s="161"/>
      <c r="BA7" s="928" t="s">
        <v>487</v>
      </c>
      <c r="BB7" s="929" t="s">
        <v>488</v>
      </c>
      <c r="BC7" s="919" t="s">
        <v>489</v>
      </c>
      <c r="BD7" s="161"/>
      <c r="BE7" s="161"/>
      <c r="BF7" s="714" t="s">
        <v>492</v>
      </c>
      <c r="BG7" s="927" t="s">
        <v>494</v>
      </c>
      <c r="BH7" s="919" t="s">
        <v>495</v>
      </c>
      <c r="BI7" s="161"/>
      <c r="BJ7" s="927" t="s">
        <v>496</v>
      </c>
      <c r="BK7" s="919" t="s">
        <v>497</v>
      </c>
      <c r="BL7" s="161"/>
      <c r="BM7" s="927" t="s">
        <v>498</v>
      </c>
      <c r="BN7" s="919" t="s">
        <v>499</v>
      </c>
      <c r="BO7" s="162"/>
      <c r="BP7" s="161"/>
      <c r="BQ7" s="714" t="s">
        <v>504</v>
      </c>
      <c r="BR7" s="927" t="s">
        <v>500</v>
      </c>
      <c r="BS7" s="919" t="s">
        <v>501</v>
      </c>
      <c r="BT7" s="161"/>
      <c r="BU7" s="714" t="s">
        <v>506</v>
      </c>
      <c r="BV7" s="927" t="s">
        <v>509</v>
      </c>
      <c r="BW7" s="919" t="s">
        <v>510</v>
      </c>
      <c r="BX7" s="161"/>
      <c r="BY7" s="714" t="s">
        <v>511</v>
      </c>
      <c r="BZ7" s="927" t="s">
        <v>513</v>
      </c>
      <c r="CA7" s="919" t="s">
        <v>514</v>
      </c>
      <c r="CB7" s="161"/>
      <c r="CC7" s="161"/>
      <c r="CD7" s="924" t="s">
        <v>540</v>
      </c>
      <c r="CE7" s="925" t="s">
        <v>541</v>
      </c>
      <c r="CF7" s="919" t="s">
        <v>542</v>
      </c>
      <c r="CG7" s="161"/>
      <c r="CH7" s="926" t="s">
        <v>547</v>
      </c>
      <c r="CI7" s="932" t="s">
        <v>543</v>
      </c>
      <c r="CJ7" s="919" t="s">
        <v>545</v>
      </c>
      <c r="CK7" s="161"/>
      <c r="CL7" s="926" t="s">
        <v>548</v>
      </c>
      <c r="CM7" s="932" t="s">
        <v>544</v>
      </c>
      <c r="CN7" s="919" t="s">
        <v>546</v>
      </c>
      <c r="CO7" s="161"/>
      <c r="CP7" s="732" t="s">
        <v>552</v>
      </c>
      <c r="CQ7" s="927" t="s">
        <v>554</v>
      </c>
      <c r="CR7" s="919" t="s">
        <v>555</v>
      </c>
      <c r="CS7" s="161"/>
      <c r="CT7" s="161"/>
      <c r="CU7" s="754" t="s">
        <v>559</v>
      </c>
      <c r="CV7" s="927" t="s">
        <v>561</v>
      </c>
      <c r="CW7" s="919" t="s">
        <v>562</v>
      </c>
      <c r="CX7" s="161"/>
      <c r="CY7" s="161"/>
      <c r="CZ7" s="928" t="s">
        <v>358</v>
      </c>
      <c r="DA7" s="929" t="s">
        <v>360</v>
      </c>
      <c r="DB7" s="919" t="s">
        <v>359</v>
      </c>
      <c r="DC7" s="161"/>
      <c r="DD7" s="161"/>
      <c r="DE7" s="162"/>
      <c r="DF7" s="714" t="s">
        <v>366</v>
      </c>
      <c r="DG7" s="927" t="s">
        <v>360</v>
      </c>
      <c r="DH7" s="919" t="s">
        <v>359</v>
      </c>
      <c r="DI7" s="162"/>
      <c r="DJ7" s="162"/>
      <c r="DK7" s="162"/>
      <c r="DL7" s="161"/>
      <c r="DM7" s="161"/>
      <c r="DN7" s="162"/>
      <c r="DO7" s="714" t="s">
        <v>361</v>
      </c>
      <c r="DP7" s="927" t="s">
        <v>363</v>
      </c>
      <c r="DQ7" s="919" t="s">
        <v>364</v>
      </c>
      <c r="DR7" s="161"/>
      <c r="DS7" s="161"/>
      <c r="DT7" s="161"/>
      <c r="DU7" s="161"/>
      <c r="DV7" s="161"/>
      <c r="DW7" s="161"/>
      <c r="DX7" s="161"/>
      <c r="DY7" s="161"/>
      <c r="DZ7" s="161"/>
      <c r="EA7" s="162"/>
      <c r="EB7" s="714" t="s">
        <v>388</v>
      </c>
      <c r="EC7" s="927" t="s">
        <v>391</v>
      </c>
      <c r="ED7" s="919" t="s">
        <v>392</v>
      </c>
      <c r="EE7" s="161"/>
      <c r="EF7" s="161"/>
      <c r="EG7" s="161"/>
      <c r="EH7" s="161"/>
      <c r="EI7" s="161"/>
      <c r="EJ7" s="161"/>
      <c r="EK7" s="161"/>
      <c r="EL7" s="161"/>
      <c r="EM7" s="163"/>
      <c r="EN7" s="714" t="s">
        <v>403</v>
      </c>
      <c r="EO7" s="927" t="s">
        <v>407</v>
      </c>
      <c r="EP7" s="919" t="s">
        <v>408</v>
      </c>
      <c r="EQ7" s="163"/>
      <c r="ER7" s="163"/>
      <c r="ES7" s="163"/>
      <c r="ET7" s="163"/>
      <c r="EU7" s="161"/>
      <c r="EV7" s="161"/>
      <c r="EW7" s="161"/>
      <c r="EX7" s="163"/>
      <c r="EY7" s="714" t="s">
        <v>409</v>
      </c>
      <c r="EZ7" s="927" t="s">
        <v>412</v>
      </c>
      <c r="FA7" s="919" t="s">
        <v>413</v>
      </c>
      <c r="FB7" s="163"/>
      <c r="FC7" s="163"/>
      <c r="FD7" s="163"/>
      <c r="FE7" s="163"/>
      <c r="FF7" s="161"/>
      <c r="FG7" s="161"/>
      <c r="FH7" s="161"/>
      <c r="FI7" s="161"/>
      <c r="FJ7" s="161"/>
      <c r="FK7" s="714" t="s">
        <v>416</v>
      </c>
      <c r="FL7" s="927" t="s">
        <v>419</v>
      </c>
      <c r="FM7" s="919" t="s">
        <v>420</v>
      </c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931" t="s">
        <v>427</v>
      </c>
      <c r="FY7" s="929" t="s">
        <v>419</v>
      </c>
      <c r="FZ7" s="929" t="s">
        <v>428</v>
      </c>
      <c r="GA7" s="932" t="s">
        <v>430</v>
      </c>
      <c r="GB7" s="920" t="s">
        <v>429</v>
      </c>
      <c r="GC7" s="920" t="s">
        <v>428</v>
      </c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T7" s="161"/>
      <c r="GU7" s="161"/>
      <c r="GV7" s="161"/>
      <c r="GW7" s="161"/>
      <c r="GX7" s="161"/>
      <c r="GY7" s="930"/>
      <c r="GZ7" s="163"/>
      <c r="HA7" s="163"/>
      <c r="HB7" s="714" t="s">
        <v>279</v>
      </c>
      <c r="HC7" s="927" t="s">
        <v>281</v>
      </c>
      <c r="HD7" s="919" t="s">
        <v>282</v>
      </c>
      <c r="HE7" s="162"/>
      <c r="HF7" s="163"/>
      <c r="HG7" s="714" t="s">
        <v>309</v>
      </c>
      <c r="HH7" s="927" t="s">
        <v>311</v>
      </c>
      <c r="HI7" s="919" t="s">
        <v>312</v>
      </c>
      <c r="HJ7" s="162"/>
      <c r="HK7" s="162"/>
      <c r="HL7" s="714" t="s">
        <v>320</v>
      </c>
      <c r="HM7" s="927" t="s">
        <v>321</v>
      </c>
      <c r="HN7" s="919" t="s">
        <v>322</v>
      </c>
      <c r="HO7" s="162"/>
      <c r="HP7" s="162"/>
      <c r="HQ7" s="162"/>
      <c r="HR7" s="919" t="s">
        <v>174</v>
      </c>
      <c r="HS7" s="919" t="s">
        <v>175</v>
      </c>
      <c r="HT7" s="163"/>
      <c r="HU7" s="163"/>
      <c r="HV7" s="164" t="s">
        <v>176</v>
      </c>
      <c r="HW7" s="919" t="s">
        <v>177</v>
      </c>
      <c r="HX7" s="919" t="s">
        <v>178</v>
      </c>
      <c r="HY7" s="161"/>
      <c r="HZ7" s="164" t="s">
        <v>179</v>
      </c>
      <c r="IA7" s="919" t="s">
        <v>180</v>
      </c>
      <c r="IB7" s="919" t="s">
        <v>181</v>
      </c>
      <c r="IC7" s="162"/>
      <c r="ID7" s="164" t="s">
        <v>182</v>
      </c>
      <c r="IE7" s="919" t="s">
        <v>183</v>
      </c>
      <c r="IF7" s="919" t="s">
        <v>184</v>
      </c>
      <c r="IG7" s="161"/>
      <c r="IH7" s="164" t="s">
        <v>185</v>
      </c>
      <c r="II7" s="919" t="s">
        <v>186</v>
      </c>
      <c r="IJ7" s="919" t="s">
        <v>187</v>
      </c>
      <c r="IK7" s="161"/>
      <c r="IL7" s="161"/>
      <c r="IM7" s="164" t="s">
        <v>188</v>
      </c>
      <c r="IN7" s="919" t="s">
        <v>189</v>
      </c>
      <c r="IO7" s="919" t="s">
        <v>190</v>
      </c>
      <c r="IP7" s="161"/>
      <c r="IQ7" s="161"/>
      <c r="IR7" s="161"/>
      <c r="IS7" s="161"/>
      <c r="IT7" s="165" t="s">
        <v>191</v>
      </c>
      <c r="IU7" s="919" t="s">
        <v>192</v>
      </c>
      <c r="IV7" s="919" t="s">
        <v>193</v>
      </c>
      <c r="IW7" s="161"/>
      <c r="IX7" s="161"/>
      <c r="IY7" s="161"/>
      <c r="IZ7" s="161"/>
      <c r="JA7" s="161"/>
      <c r="JD7" s="919" t="s">
        <v>194</v>
      </c>
      <c r="JE7" s="919" t="s">
        <v>195</v>
      </c>
      <c r="JF7" s="919" t="s">
        <v>196</v>
      </c>
      <c r="JG7" s="919" t="s">
        <v>197</v>
      </c>
      <c r="JH7" s="919" t="s">
        <v>198</v>
      </c>
      <c r="JI7" s="919" t="s">
        <v>199</v>
      </c>
      <c r="JJ7" s="919" t="s">
        <v>200</v>
      </c>
      <c r="JK7" s="919" t="s">
        <v>201</v>
      </c>
      <c r="JL7" s="919" t="s">
        <v>202</v>
      </c>
      <c r="JM7" s="919" t="s">
        <v>203</v>
      </c>
      <c r="JN7" s="162"/>
    </row>
    <row r="8" spans="1:288" ht="23.4" customHeight="1" x14ac:dyDescent="0.25">
      <c r="A8" s="935"/>
      <c r="B8" s="935"/>
      <c r="C8" s="935"/>
      <c r="D8" s="63" t="s">
        <v>578</v>
      </c>
      <c r="E8" s="167" t="s">
        <v>204</v>
      </c>
      <c r="F8" s="63" t="s">
        <v>205</v>
      </c>
      <c r="G8" s="166" t="s">
        <v>439</v>
      </c>
      <c r="H8" s="166" t="s">
        <v>565</v>
      </c>
      <c r="I8" s="939"/>
      <c r="J8" s="166" t="s">
        <v>333</v>
      </c>
      <c r="K8" s="939"/>
      <c r="L8" s="166" t="s">
        <v>439</v>
      </c>
      <c r="M8" s="939"/>
      <c r="N8" s="166" t="s">
        <v>565</v>
      </c>
      <c r="O8" s="168"/>
      <c r="P8" s="168"/>
      <c r="Q8" s="168"/>
      <c r="R8" s="940"/>
      <c r="S8" s="929"/>
      <c r="T8" s="919"/>
      <c r="U8" s="168"/>
      <c r="V8" s="929"/>
      <c r="W8" s="919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928"/>
      <c r="AT8" s="929"/>
      <c r="AU8" s="919"/>
      <c r="AV8" s="168"/>
      <c r="AW8" s="928"/>
      <c r="AX8" s="929"/>
      <c r="AY8" s="919"/>
      <c r="AZ8" s="168"/>
      <c r="BA8" s="928"/>
      <c r="BB8" s="929"/>
      <c r="BC8" s="919"/>
      <c r="BD8" s="168"/>
      <c r="BE8" s="168"/>
      <c r="BF8" s="335" t="s">
        <v>493</v>
      </c>
      <c r="BG8" s="927"/>
      <c r="BH8" s="919"/>
      <c r="BI8" s="168"/>
      <c r="BJ8" s="927"/>
      <c r="BK8" s="919"/>
      <c r="BL8" s="168"/>
      <c r="BM8" s="927"/>
      <c r="BN8" s="919"/>
      <c r="BO8" s="162"/>
      <c r="BP8" s="168"/>
      <c r="BQ8" s="335" t="s">
        <v>505</v>
      </c>
      <c r="BR8" s="927"/>
      <c r="BS8" s="919"/>
      <c r="BT8" s="168"/>
      <c r="BU8" s="335" t="s">
        <v>507</v>
      </c>
      <c r="BV8" s="927"/>
      <c r="BW8" s="919"/>
      <c r="BX8" s="168"/>
      <c r="BY8" s="335" t="s">
        <v>512</v>
      </c>
      <c r="BZ8" s="927"/>
      <c r="CA8" s="919"/>
      <c r="CB8" s="168"/>
      <c r="CC8" s="168"/>
      <c r="CD8" s="920"/>
      <c r="CE8" s="925"/>
      <c r="CF8" s="919"/>
      <c r="CG8" s="168"/>
      <c r="CH8" s="926"/>
      <c r="CI8" s="932"/>
      <c r="CJ8" s="919"/>
      <c r="CK8" s="168"/>
      <c r="CL8" s="926"/>
      <c r="CM8" s="932"/>
      <c r="CN8" s="919"/>
      <c r="CO8" s="168"/>
      <c r="CP8" s="335" t="s">
        <v>553</v>
      </c>
      <c r="CQ8" s="927"/>
      <c r="CR8" s="919"/>
      <c r="CS8" s="168"/>
      <c r="CT8" s="168"/>
      <c r="CU8" s="335" t="s">
        <v>560</v>
      </c>
      <c r="CV8" s="927"/>
      <c r="CW8" s="919"/>
      <c r="CX8" s="168"/>
      <c r="CY8" s="168"/>
      <c r="CZ8" s="928"/>
      <c r="DA8" s="929"/>
      <c r="DB8" s="919"/>
      <c r="DC8" s="168"/>
      <c r="DD8" s="168"/>
      <c r="DE8" s="162"/>
      <c r="DF8" s="335" t="s">
        <v>367</v>
      </c>
      <c r="DG8" s="927"/>
      <c r="DH8" s="919"/>
      <c r="DI8" s="162"/>
      <c r="DJ8" s="162"/>
      <c r="DK8" s="162"/>
      <c r="DL8" s="168"/>
      <c r="DM8" s="168"/>
      <c r="DN8" s="162"/>
      <c r="DO8" s="335" t="s">
        <v>362</v>
      </c>
      <c r="DP8" s="927"/>
      <c r="DQ8" s="919"/>
      <c r="DR8" s="168"/>
      <c r="DS8" s="168"/>
      <c r="DT8" s="168"/>
      <c r="DU8" s="168"/>
      <c r="DV8" s="168"/>
      <c r="DW8" s="168"/>
      <c r="DX8" s="168"/>
      <c r="DY8" s="168"/>
      <c r="DZ8" s="168"/>
      <c r="EA8" s="162"/>
      <c r="EB8" s="335" t="s">
        <v>389</v>
      </c>
      <c r="EC8" s="927"/>
      <c r="ED8" s="919"/>
      <c r="EE8" s="168"/>
      <c r="EF8" s="168"/>
      <c r="EG8" s="168"/>
      <c r="EH8" s="168"/>
      <c r="EI8" s="168"/>
      <c r="EJ8" s="168"/>
      <c r="EK8" s="168"/>
      <c r="EL8" s="168"/>
      <c r="EM8" s="163"/>
      <c r="EN8" s="335" t="s">
        <v>404</v>
      </c>
      <c r="EO8" s="927"/>
      <c r="EP8" s="919"/>
      <c r="EQ8" s="163"/>
      <c r="ER8" s="163"/>
      <c r="ES8" s="163"/>
      <c r="ET8" s="163"/>
      <c r="EU8" s="168"/>
      <c r="EV8" s="168"/>
      <c r="EW8" s="168"/>
      <c r="EX8" s="163"/>
      <c r="EY8" s="335" t="s">
        <v>410</v>
      </c>
      <c r="EZ8" s="927"/>
      <c r="FA8" s="919"/>
      <c r="FB8" s="163"/>
      <c r="FC8" s="163"/>
      <c r="FD8" s="163"/>
      <c r="FE8" s="163"/>
      <c r="FF8" s="168"/>
      <c r="FG8" s="168"/>
      <c r="FH8" s="168"/>
      <c r="FI8" s="168"/>
      <c r="FJ8" s="168"/>
      <c r="FK8" s="335" t="s">
        <v>418</v>
      </c>
      <c r="FL8" s="927"/>
      <c r="FM8" s="919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931"/>
      <c r="FY8" s="929"/>
      <c r="FZ8" s="929"/>
      <c r="GA8" s="932"/>
      <c r="GB8" s="920"/>
      <c r="GC8" s="920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T8" s="168"/>
      <c r="GU8" s="168"/>
      <c r="GV8" s="168"/>
      <c r="GW8" s="168"/>
      <c r="GX8" s="168"/>
      <c r="GY8" s="930"/>
      <c r="GZ8" s="163"/>
      <c r="HA8" s="163"/>
      <c r="HB8" s="335" t="s">
        <v>280</v>
      </c>
      <c r="HC8" s="927"/>
      <c r="HD8" s="919"/>
      <c r="HE8" s="162"/>
      <c r="HF8" s="163"/>
      <c r="HG8" s="335" t="s">
        <v>310</v>
      </c>
      <c r="HH8" s="927"/>
      <c r="HI8" s="919"/>
      <c r="HJ8" s="162"/>
      <c r="HK8" s="162"/>
      <c r="HL8" s="335" t="s">
        <v>319</v>
      </c>
      <c r="HM8" s="927"/>
      <c r="HN8" s="919"/>
      <c r="HO8" s="162"/>
      <c r="HP8" s="162"/>
      <c r="HQ8" s="162"/>
      <c r="HR8" s="919"/>
      <c r="HS8" s="919"/>
      <c r="HT8" s="163"/>
      <c r="HU8" s="163"/>
      <c r="HV8" s="169" t="s">
        <v>206</v>
      </c>
      <c r="HW8" s="919"/>
      <c r="HX8" s="919"/>
      <c r="HY8" s="168"/>
      <c r="HZ8" s="169" t="s">
        <v>207</v>
      </c>
      <c r="IA8" s="919"/>
      <c r="IB8" s="919"/>
      <c r="IC8" s="162"/>
      <c r="ID8" s="169" t="s">
        <v>208</v>
      </c>
      <c r="IE8" s="919"/>
      <c r="IF8" s="919"/>
      <c r="IG8" s="168"/>
      <c r="IH8" s="169" t="s">
        <v>209</v>
      </c>
      <c r="II8" s="919"/>
      <c r="IJ8" s="919"/>
      <c r="IK8" s="168"/>
      <c r="IL8" s="168"/>
      <c r="IM8" s="169" t="s">
        <v>210</v>
      </c>
      <c r="IN8" s="919"/>
      <c r="IO8" s="919"/>
      <c r="IP8" s="168"/>
      <c r="IQ8" s="168"/>
      <c r="IR8" s="168"/>
      <c r="IS8" s="168"/>
      <c r="IT8" s="170" t="s">
        <v>211</v>
      </c>
      <c r="IU8" s="919"/>
      <c r="IV8" s="919"/>
      <c r="IW8" s="168"/>
      <c r="IX8" s="168"/>
      <c r="IY8" s="168"/>
      <c r="IZ8" s="168"/>
      <c r="JA8" s="168"/>
      <c r="JD8" s="919"/>
      <c r="JE8" s="919"/>
      <c r="JF8" s="919"/>
      <c r="JG8" s="919"/>
      <c r="JH8" s="919"/>
      <c r="JI8" s="919"/>
      <c r="JJ8" s="919"/>
      <c r="JK8" s="919"/>
      <c r="JL8" s="919"/>
      <c r="JM8" s="919"/>
      <c r="JN8" s="162"/>
    </row>
    <row r="9" spans="1:288" ht="25.2" customHeight="1" x14ac:dyDescent="0.25">
      <c r="A9" s="144" t="s">
        <v>18</v>
      </c>
      <c r="B9" s="144" t="s">
        <v>120</v>
      </c>
      <c r="C9" s="144" t="s">
        <v>19</v>
      </c>
      <c r="D9" s="144" t="s">
        <v>20</v>
      </c>
      <c r="E9" s="144" t="s">
        <v>20</v>
      </c>
      <c r="F9" s="144" t="s">
        <v>20</v>
      </c>
      <c r="G9" s="144" t="s">
        <v>20</v>
      </c>
      <c r="H9" s="144" t="s">
        <v>20</v>
      </c>
      <c r="I9" s="144" t="s">
        <v>21</v>
      </c>
      <c r="J9" s="144" t="s">
        <v>21</v>
      </c>
      <c r="K9" s="144" t="s">
        <v>21</v>
      </c>
      <c r="L9" s="144" t="s">
        <v>21</v>
      </c>
      <c r="M9" s="144" t="s">
        <v>21</v>
      </c>
      <c r="N9" s="144" t="s">
        <v>21</v>
      </c>
      <c r="O9" s="171"/>
      <c r="P9" s="171"/>
      <c r="Q9" s="171"/>
      <c r="R9" s="287" t="s">
        <v>212</v>
      </c>
      <c r="S9" s="173"/>
      <c r="T9" s="509" t="s">
        <v>491</v>
      </c>
      <c r="U9" s="171"/>
      <c r="V9" s="173"/>
      <c r="W9" s="795">
        <v>63755588.189999998</v>
      </c>
      <c r="X9" s="176">
        <f>W9-W18</f>
        <v>63371860.509999998</v>
      </c>
      <c r="Y9" s="176"/>
      <c r="Z9" s="176"/>
      <c r="AA9" s="176"/>
      <c r="AB9" s="176"/>
      <c r="AC9" s="176"/>
      <c r="AD9" s="176"/>
      <c r="AE9" s="176"/>
      <c r="AF9" s="247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2" t="s">
        <v>212</v>
      </c>
      <c r="AT9" s="173"/>
      <c r="AU9" s="509" t="s">
        <v>215</v>
      </c>
      <c r="AV9" s="171"/>
      <c r="AW9" s="172" t="s">
        <v>212</v>
      </c>
      <c r="AX9" s="173"/>
      <c r="AY9" s="509" t="s">
        <v>491</v>
      </c>
      <c r="AZ9" s="171"/>
      <c r="BA9" s="172" t="s">
        <v>212</v>
      </c>
      <c r="BB9" s="173"/>
      <c r="BC9" s="509" t="s">
        <v>490</v>
      </c>
      <c r="BD9" s="171"/>
      <c r="BE9" s="171"/>
      <c r="BF9" s="232">
        <f>24922888.44</f>
        <v>24922888.440000001</v>
      </c>
      <c r="BG9" s="176">
        <f>BF9-AU17</f>
        <v>5680410.0000000037</v>
      </c>
      <c r="BH9" s="247">
        <f>BG9/AS17</f>
        <v>82.482575361561302</v>
      </c>
      <c r="BI9" s="171"/>
      <c r="BJ9" s="232">
        <v>15242171.380000001</v>
      </c>
      <c r="BK9" s="176">
        <f>BJ9-AY17</f>
        <v>-4000307.0615579989</v>
      </c>
      <c r="BL9" s="171"/>
      <c r="BM9" s="232">
        <v>12196137.380000001</v>
      </c>
      <c r="BN9" s="176">
        <f>BM9-BC17</f>
        <v>-7046341.0603419971</v>
      </c>
      <c r="BO9" s="176"/>
      <c r="BP9" s="171"/>
      <c r="BQ9" s="666">
        <f>24922888.44</f>
        <v>24922888.440000001</v>
      </c>
      <c r="BR9" s="667" t="s">
        <v>502</v>
      </c>
      <c r="BS9" s="247"/>
      <c r="BT9" s="171"/>
      <c r="BU9" s="666">
        <v>25005238.440000001</v>
      </c>
      <c r="BV9" s="667" t="s">
        <v>508</v>
      </c>
      <c r="BW9" s="666">
        <f>BU9-BQ9</f>
        <v>82350</v>
      </c>
      <c r="BX9" s="171"/>
      <c r="BY9" s="666">
        <v>25581749.609999999</v>
      </c>
      <c r="BZ9" s="667" t="s">
        <v>508</v>
      </c>
      <c r="CA9" s="666">
        <f>BY9-BU9</f>
        <v>576511.16999999806</v>
      </c>
      <c r="CB9" s="171"/>
      <c r="CC9" s="171"/>
      <c r="CD9" s="734" t="s">
        <v>212</v>
      </c>
      <c r="CE9" s="717"/>
      <c r="CF9" s="719" t="s">
        <v>215</v>
      </c>
      <c r="CG9" s="171"/>
      <c r="CH9" s="250" t="s">
        <v>212</v>
      </c>
      <c r="CI9" s="717"/>
      <c r="CJ9" s="719" t="s">
        <v>491</v>
      </c>
      <c r="CK9" s="171"/>
      <c r="CL9" s="250" t="s">
        <v>212</v>
      </c>
      <c r="CM9" s="717"/>
      <c r="CN9" s="719" t="s">
        <v>490</v>
      </c>
      <c r="CO9" s="171"/>
      <c r="CP9" s="666">
        <v>57706619.369999997</v>
      </c>
      <c r="CQ9" s="667" t="s">
        <v>556</v>
      </c>
      <c r="CR9" s="666">
        <f>CP10-CF17</f>
        <v>1754027.998183988</v>
      </c>
      <c r="CS9" s="171"/>
      <c r="CT9" s="171"/>
      <c r="CU9" s="666">
        <v>56337676.009999998</v>
      </c>
      <c r="CV9" s="667" t="s">
        <v>556</v>
      </c>
      <c r="CW9" s="666">
        <f>CU10-CP10</f>
        <v>-1368943.3599999994</v>
      </c>
      <c r="CX9" s="171"/>
      <c r="CY9" s="171"/>
      <c r="CZ9" s="172" t="s">
        <v>212</v>
      </c>
      <c r="DA9" s="173"/>
      <c r="DB9" s="509" t="s">
        <v>214</v>
      </c>
      <c r="DC9" s="171"/>
      <c r="DD9" s="171"/>
      <c r="DE9" s="174"/>
      <c r="DF9" s="335" t="s">
        <v>365</v>
      </c>
      <c r="DG9" s="338"/>
      <c r="DH9" s="174"/>
      <c r="DI9" s="174"/>
      <c r="DJ9" s="177" t="s">
        <v>365</v>
      </c>
      <c r="DK9" s="512"/>
      <c r="DL9" s="171"/>
      <c r="DM9" s="171"/>
      <c r="DN9" s="174"/>
      <c r="DO9" s="177" t="s">
        <v>375</v>
      </c>
      <c r="DP9" s="338">
        <v>69.806147100000004</v>
      </c>
      <c r="DQ9" s="526">
        <f>69.81-0.0159+0.00006</f>
        <v>69.794160000000005</v>
      </c>
      <c r="DR9" s="177" t="s">
        <v>375</v>
      </c>
      <c r="DS9" s="63"/>
      <c r="DT9" s="171"/>
      <c r="DU9" s="171"/>
      <c r="DV9" s="171"/>
      <c r="DW9" s="171"/>
      <c r="DX9" s="171"/>
      <c r="DY9" s="171"/>
      <c r="DZ9" s="171"/>
      <c r="EA9" s="174"/>
      <c r="EB9" s="177" t="s">
        <v>390</v>
      </c>
      <c r="EC9" s="552">
        <f>EJ17</f>
        <v>25.504340357650563</v>
      </c>
      <c r="ED9" s="526">
        <v>25.8</v>
      </c>
      <c r="EE9" s="177" t="s">
        <v>390</v>
      </c>
      <c r="EF9" s="63"/>
      <c r="EG9" s="171"/>
      <c r="EH9" s="171"/>
      <c r="EI9" s="171"/>
      <c r="EJ9" s="171"/>
      <c r="EK9" s="450"/>
      <c r="EL9" s="450"/>
      <c r="EM9" s="338"/>
      <c r="EN9" s="177" t="s">
        <v>405</v>
      </c>
      <c r="EO9" s="558">
        <f>EV17</f>
        <v>0.87981359602201492</v>
      </c>
      <c r="EP9" s="559">
        <v>0.88</v>
      </c>
      <c r="EQ9" s="177" t="s">
        <v>405</v>
      </c>
      <c r="ER9" s="63"/>
      <c r="ES9" s="338"/>
      <c r="ET9" s="526"/>
      <c r="EU9" s="171"/>
      <c r="EV9" s="171"/>
      <c r="EW9" s="171"/>
      <c r="EX9" s="338"/>
      <c r="EY9" s="177" t="s">
        <v>411</v>
      </c>
      <c r="EZ9" s="558">
        <f>FG17</f>
        <v>0</v>
      </c>
      <c r="FA9" s="559">
        <v>0.88</v>
      </c>
      <c r="FB9" s="177" t="s">
        <v>411</v>
      </c>
      <c r="FC9" s="63"/>
      <c r="FD9" s="338"/>
      <c r="FE9" s="526"/>
      <c r="FF9" s="171"/>
      <c r="FG9" s="171"/>
      <c r="FH9" s="171"/>
      <c r="FI9" s="171"/>
      <c r="FJ9" s="171"/>
      <c r="FK9" s="177" t="s">
        <v>417</v>
      </c>
      <c r="FL9" s="558">
        <f>GW17</f>
        <v>0</v>
      </c>
      <c r="FM9" s="559">
        <v>0.88</v>
      </c>
      <c r="FN9" s="177" t="s">
        <v>417</v>
      </c>
      <c r="FO9" s="247"/>
      <c r="FP9" s="247"/>
      <c r="FQ9" s="247"/>
      <c r="FR9" s="247"/>
      <c r="FS9" s="247"/>
      <c r="FT9" s="247"/>
      <c r="FU9" s="247"/>
      <c r="FV9" s="247"/>
      <c r="FW9" s="247"/>
      <c r="FX9" s="596" t="s">
        <v>212</v>
      </c>
      <c r="FY9" s="588"/>
      <c r="FZ9" s="600" t="s">
        <v>214</v>
      </c>
      <c r="GA9" s="585" t="s">
        <v>21</v>
      </c>
      <c r="GB9" s="591" t="s">
        <v>21</v>
      </c>
      <c r="GC9" s="591" t="s">
        <v>21</v>
      </c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T9" s="171"/>
      <c r="GU9" s="171"/>
      <c r="GV9" s="171"/>
      <c r="GW9" s="171"/>
      <c r="GX9" s="171"/>
      <c r="GY9" s="324"/>
      <c r="HA9" s="174"/>
      <c r="HB9" s="63"/>
      <c r="HC9" s="338">
        <v>18.9381585</v>
      </c>
      <c r="HD9" s="174"/>
      <c r="HE9" s="174"/>
      <c r="HF9" s="174"/>
      <c r="HG9" s="63"/>
      <c r="HH9" s="338">
        <v>1.9072069</v>
      </c>
      <c r="HI9" s="174"/>
      <c r="HJ9" s="174"/>
      <c r="HK9" s="174"/>
      <c r="HL9" s="63"/>
      <c r="HM9" s="338">
        <v>9.6734697000000001</v>
      </c>
      <c r="HN9" s="174"/>
      <c r="HO9" s="174"/>
      <c r="HP9" s="174"/>
      <c r="HQ9" s="174"/>
      <c r="HS9" s="174">
        <v>304168.17</v>
      </c>
      <c r="HU9" s="174"/>
      <c r="HV9" s="171"/>
      <c r="HX9" s="174">
        <f>145778.83</f>
        <v>145778.82999999999</v>
      </c>
      <c r="HY9" s="171"/>
      <c r="HZ9" s="171"/>
      <c r="IB9" s="174">
        <v>167609</v>
      </c>
      <c r="IC9" s="174"/>
      <c r="ID9" s="171"/>
      <c r="IE9" s="171"/>
      <c r="IF9" s="175">
        <v>-27213.64</v>
      </c>
      <c r="IG9" s="171"/>
      <c r="IH9" s="171"/>
      <c r="II9" s="176">
        <f>44803360.28-9993200</f>
        <v>34810160.280000001</v>
      </c>
      <c r="IJ9" s="175">
        <v>91792.17</v>
      </c>
      <c r="IK9" s="177" t="s">
        <v>216</v>
      </c>
      <c r="IL9" s="171"/>
      <c r="IM9" s="171"/>
      <c r="IN9" s="176">
        <f>44803360.28-9993200+1277754</f>
        <v>36087914.280000001</v>
      </c>
      <c r="IO9" s="175">
        <v>212959</v>
      </c>
      <c r="IP9" s="177" t="s">
        <v>216</v>
      </c>
      <c r="IQ9" s="171"/>
      <c r="IR9" s="171"/>
      <c r="IS9" s="171"/>
      <c r="IT9" s="171"/>
      <c r="IU9" s="176">
        <f>44803360.28-9993200+1277754+595148.68</f>
        <v>36683062.960000001</v>
      </c>
      <c r="IV9" s="178">
        <v>99191.444000000003</v>
      </c>
      <c r="IW9" s="177" t="s">
        <v>216</v>
      </c>
      <c r="IX9" s="171"/>
      <c r="IY9" s="171"/>
      <c r="IZ9" s="171"/>
      <c r="JA9" s="171"/>
      <c r="JC9" s="179" t="s">
        <v>217</v>
      </c>
      <c r="JE9" s="180" t="s">
        <v>218</v>
      </c>
      <c r="JG9" s="181">
        <v>182795.33</v>
      </c>
      <c r="JI9" s="181">
        <v>288911</v>
      </c>
      <c r="JK9" s="182">
        <v>11366.666670000001</v>
      </c>
      <c r="JL9" s="181"/>
      <c r="JM9" s="182">
        <v>8333.3333299999995</v>
      </c>
      <c r="JN9" s="181"/>
    </row>
    <row r="10" spans="1:288" ht="19.95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5"/>
      <c r="Q10" s="185"/>
      <c r="R10" s="799"/>
      <c r="S10" s="173"/>
      <c r="T10" s="510" t="s">
        <v>219</v>
      </c>
      <c r="U10" s="185"/>
      <c r="V10" s="173"/>
      <c r="W10" s="510" t="s">
        <v>219</v>
      </c>
      <c r="X10" s="259">
        <f>X9-T17</f>
        <v>6813360.5099999979</v>
      </c>
      <c r="Y10" s="259"/>
      <c r="Z10" s="259"/>
      <c r="AA10" s="259"/>
      <c r="AB10" s="259"/>
      <c r="AC10" s="259"/>
      <c r="AD10" s="259"/>
      <c r="AE10" s="259"/>
      <c r="AF10" s="272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/>
      <c r="AT10" s="173"/>
      <c r="AU10" s="510" t="s">
        <v>219</v>
      </c>
      <c r="AV10" s="185"/>
      <c r="AW10" s="186"/>
      <c r="AX10" s="173"/>
      <c r="AY10" s="510" t="s">
        <v>219</v>
      </c>
      <c r="AZ10" s="185"/>
      <c r="BA10" s="186"/>
      <c r="BB10" s="173"/>
      <c r="BC10" s="510" t="s">
        <v>219</v>
      </c>
      <c r="BD10" s="185"/>
      <c r="BE10" s="185"/>
      <c r="BF10" s="185"/>
      <c r="BG10" s="185"/>
      <c r="BH10" s="185"/>
      <c r="BI10" s="185"/>
      <c r="BJ10" s="185"/>
      <c r="BK10" s="162">
        <f>BK9/AW17</f>
        <v>-58.082369891800838</v>
      </c>
      <c r="BL10" s="185"/>
      <c r="BM10" s="185"/>
      <c r="BN10" s="272">
        <f>BN9/BA17</f>
        <v>-102.30176631641449</v>
      </c>
      <c r="BO10" s="272"/>
      <c r="BP10" s="185"/>
      <c r="BQ10" s="185"/>
      <c r="BR10" s="185"/>
      <c r="BS10" s="185"/>
      <c r="BT10" s="185"/>
      <c r="BU10" s="185"/>
      <c r="BV10" s="185"/>
      <c r="BW10" s="672">
        <f>BW9/AS17</f>
        <v>1.1957658128593831</v>
      </c>
      <c r="BX10" s="673" t="s">
        <v>503</v>
      </c>
      <c r="BY10" s="185"/>
      <c r="BZ10" s="185"/>
      <c r="CA10" s="672">
        <f>CA9/AS17</f>
        <v>8.3712489109600696</v>
      </c>
      <c r="CB10" s="673" t="s">
        <v>503</v>
      </c>
      <c r="CC10" s="185"/>
      <c r="CD10" s="735"/>
      <c r="CE10" s="717"/>
      <c r="CF10" s="720" t="s">
        <v>219</v>
      </c>
      <c r="CG10" s="185"/>
      <c r="CH10" s="718"/>
      <c r="CI10" s="717"/>
      <c r="CJ10" s="720" t="s">
        <v>219</v>
      </c>
      <c r="CK10" s="185"/>
      <c r="CL10" s="718"/>
      <c r="CM10" s="717"/>
      <c r="CN10" s="720" t="s">
        <v>219</v>
      </c>
      <c r="CO10" s="185"/>
      <c r="CP10" s="736">
        <f>CP9-CR18</f>
        <v>56939164.029999994</v>
      </c>
      <c r="CQ10" s="293" t="s">
        <v>557</v>
      </c>
      <c r="CR10" s="672">
        <f>CR9/CD17</f>
        <v>10.409167506492203</v>
      </c>
      <c r="CS10" s="673" t="s">
        <v>503</v>
      </c>
      <c r="CT10" s="176"/>
      <c r="CU10" s="736">
        <f>CU9-CW18</f>
        <v>55570220.669999994</v>
      </c>
      <c r="CV10" s="293" t="s">
        <v>557</v>
      </c>
      <c r="CW10" s="672">
        <f>CW9/CD17</f>
        <v>-8.1239072328910158</v>
      </c>
      <c r="CX10" s="272" t="s">
        <v>563</v>
      </c>
      <c r="CY10" s="185"/>
      <c r="CZ10" s="186"/>
      <c r="DA10" s="173"/>
      <c r="DB10" s="510" t="s">
        <v>219</v>
      </c>
      <c r="DC10" s="185"/>
      <c r="DD10" s="185"/>
      <c r="DE10" s="180"/>
      <c r="DF10" s="336"/>
      <c r="DG10" s="188"/>
      <c r="DH10" s="180" t="s">
        <v>219</v>
      </c>
      <c r="DI10" s="180"/>
      <c r="DJ10" s="513"/>
      <c r="DK10" s="513"/>
      <c r="DL10" s="185"/>
      <c r="DM10" s="185"/>
      <c r="DN10" s="180"/>
      <c r="DO10" s="336"/>
      <c r="DP10" s="188"/>
      <c r="DQ10" s="180" t="s">
        <v>219</v>
      </c>
      <c r="DR10" s="184"/>
      <c r="DS10" s="184"/>
      <c r="DT10" s="185"/>
      <c r="DU10" s="185"/>
      <c r="DV10" s="185"/>
      <c r="DW10" s="185"/>
      <c r="DX10" s="185"/>
      <c r="DY10" s="185"/>
      <c r="DZ10" s="185"/>
      <c r="EA10" s="180"/>
      <c r="EB10" s="336"/>
      <c r="EC10" s="188"/>
      <c r="ED10" s="180" t="s">
        <v>219</v>
      </c>
      <c r="EE10" s="215">
        <f>SUM(EE11:EE17)</f>
        <v>52440014.129999995</v>
      </c>
      <c r="EF10" s="184"/>
      <c r="EG10" s="185"/>
      <c r="EH10" s="185"/>
      <c r="EI10" s="185"/>
      <c r="EJ10" s="185"/>
      <c r="EK10" s="185"/>
      <c r="EL10" s="185"/>
      <c r="EM10" s="188"/>
      <c r="EN10" s="188"/>
      <c r="EO10" s="188"/>
      <c r="EP10" s="180" t="s">
        <v>219</v>
      </c>
      <c r="EQ10" s="215">
        <f>SUM(EQ11:EQ17)</f>
        <v>52496455.93</v>
      </c>
      <c r="ER10" s="184"/>
      <c r="ES10" s="188"/>
      <c r="ET10" s="180"/>
      <c r="EU10" s="185"/>
      <c r="EV10" s="185"/>
      <c r="EW10" s="185"/>
      <c r="EX10" s="188"/>
      <c r="EY10" s="188"/>
      <c r="EZ10" s="188"/>
      <c r="FA10" s="180" t="s">
        <v>219</v>
      </c>
      <c r="FB10" s="215">
        <f>SUM(FB11:FB17)</f>
        <v>52930724.07</v>
      </c>
      <c r="FC10" s="184"/>
      <c r="FD10" s="188"/>
      <c r="FE10" s="180"/>
      <c r="FF10" s="185"/>
      <c r="FG10" s="185"/>
      <c r="FH10" s="185"/>
      <c r="FI10" s="185"/>
      <c r="FJ10" s="185"/>
      <c r="FK10" s="188"/>
      <c r="FL10" s="188"/>
      <c r="FM10" s="180" t="s">
        <v>219</v>
      </c>
      <c r="FN10" s="215">
        <f>SUM(FN11:FN17)</f>
        <v>56226747.870000005</v>
      </c>
      <c r="FO10" s="215"/>
      <c r="FP10" s="215"/>
      <c r="FQ10" s="215"/>
      <c r="FR10" s="215"/>
      <c r="FS10" s="215"/>
      <c r="FT10" s="215"/>
      <c r="FU10" s="215"/>
      <c r="FV10" s="215"/>
      <c r="FW10" s="215"/>
      <c r="FX10" s="597"/>
      <c r="FY10" s="589" t="s">
        <v>219</v>
      </c>
      <c r="FZ10" s="589" t="s">
        <v>219</v>
      </c>
      <c r="GA10" s="587"/>
      <c r="GB10" s="592"/>
      <c r="GC10" s="592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T10" s="185"/>
      <c r="GU10" s="185"/>
      <c r="GV10" s="185"/>
      <c r="GW10" s="185"/>
      <c r="GX10" s="185"/>
      <c r="GY10" s="324"/>
      <c r="HA10" s="180"/>
      <c r="HB10" s="336"/>
      <c r="HC10" s="188"/>
      <c r="HD10" s="180" t="s">
        <v>219</v>
      </c>
      <c r="HE10" s="180"/>
      <c r="HF10" s="180"/>
      <c r="HG10" s="336"/>
      <c r="HH10" s="188"/>
      <c r="HI10" s="180" t="s">
        <v>219</v>
      </c>
      <c r="HJ10" s="180"/>
      <c r="HK10" s="180"/>
      <c r="HL10" s="336"/>
      <c r="HM10" s="188"/>
      <c r="HN10" s="180" t="s">
        <v>219</v>
      </c>
      <c r="HO10" s="180"/>
      <c r="HP10" s="180"/>
      <c r="HQ10" s="180"/>
      <c r="HS10" s="180" t="s">
        <v>219</v>
      </c>
      <c r="HU10" s="180"/>
      <c r="HV10" s="187" t="s">
        <v>220</v>
      </c>
      <c r="HW10" s="188" t="s">
        <v>221</v>
      </c>
      <c r="HX10" s="180" t="s">
        <v>219</v>
      </c>
      <c r="HY10" s="185"/>
      <c r="HZ10" s="187" t="s">
        <v>222</v>
      </c>
      <c r="IA10" s="188" t="s">
        <v>223</v>
      </c>
      <c r="IB10" s="180" t="s">
        <v>219</v>
      </c>
      <c r="IC10" s="180"/>
      <c r="ID10" s="187" t="s">
        <v>222</v>
      </c>
      <c r="IE10" s="188" t="s">
        <v>224</v>
      </c>
      <c r="IF10" s="180" t="s">
        <v>219</v>
      </c>
      <c r="IG10" s="185"/>
      <c r="IH10" s="187" t="s">
        <v>222</v>
      </c>
      <c r="II10" s="188" t="s">
        <v>225</v>
      </c>
      <c r="IJ10" s="180" t="s">
        <v>219</v>
      </c>
      <c r="IK10" s="184"/>
      <c r="IL10" s="185"/>
      <c r="IM10" s="187" t="s">
        <v>222</v>
      </c>
      <c r="IN10" s="188" t="s">
        <v>226</v>
      </c>
      <c r="IO10" s="180" t="s">
        <v>219</v>
      </c>
      <c r="IP10" s="184"/>
      <c r="IQ10" s="185"/>
      <c r="IR10" s="185"/>
      <c r="IS10" s="185"/>
      <c r="IT10" s="189" t="s">
        <v>222</v>
      </c>
      <c r="IU10" s="188" t="s">
        <v>227</v>
      </c>
      <c r="IV10" s="180" t="s">
        <v>219</v>
      </c>
      <c r="IW10" s="184"/>
      <c r="IX10" s="185"/>
      <c r="IY10" s="185"/>
      <c r="IZ10" s="185"/>
      <c r="JA10" s="185"/>
      <c r="JC10" s="190"/>
      <c r="JE10" s="180" t="s">
        <v>219</v>
      </c>
      <c r="JG10" s="180" t="s">
        <v>219</v>
      </c>
      <c r="JI10" s="180" t="s">
        <v>219</v>
      </c>
      <c r="JK10" s="180" t="s">
        <v>219</v>
      </c>
      <c r="JL10" s="180"/>
      <c r="JM10" s="180"/>
      <c r="JN10" s="180"/>
    </row>
    <row r="11" spans="1:288" ht="60" x14ac:dyDescent="0.25">
      <c r="A11" s="191" t="s">
        <v>228</v>
      </c>
      <c r="B11" s="192" t="s">
        <v>229</v>
      </c>
      <c r="C11" s="144" t="s">
        <v>230</v>
      </c>
      <c r="D11" s="193">
        <v>26712</v>
      </c>
      <c r="E11" s="193">
        <v>11016</v>
      </c>
      <c r="F11" s="193">
        <v>11016</v>
      </c>
      <c r="G11" s="534">
        <v>26712</v>
      </c>
      <c r="H11" s="534">
        <v>26712</v>
      </c>
      <c r="I11" s="194">
        <f>341.19+41.11</f>
        <v>382.3</v>
      </c>
      <c r="J11" s="194">
        <f>D11*I11</f>
        <v>10211997.6</v>
      </c>
      <c r="K11" s="194">
        <v>341.19</v>
      </c>
      <c r="L11" s="769">
        <f>G11*K11-29.31</f>
        <v>9113837.9699999988</v>
      </c>
      <c r="M11" s="194">
        <v>341.19</v>
      </c>
      <c r="N11" s="769">
        <f>H11*M11-29.31</f>
        <v>9113837.9699999988</v>
      </c>
      <c r="O11" s="195"/>
      <c r="P11" s="195"/>
      <c r="Q11" s="195"/>
      <c r="R11" s="800">
        <v>26712</v>
      </c>
      <c r="S11" s="197">
        <v>341.19</v>
      </c>
      <c r="T11" s="793">
        <f>S11*R11-29.31</f>
        <v>9113837.9699999988</v>
      </c>
      <c r="U11" s="195"/>
      <c r="V11" s="197">
        <f>341.19+41.11</f>
        <v>382.3</v>
      </c>
      <c r="W11" s="507">
        <f>V11*R11</f>
        <v>10211997.6</v>
      </c>
      <c r="X11" s="797">
        <f>X10/R17</f>
        <v>41.107735483637406</v>
      </c>
      <c r="Y11" s="797"/>
      <c r="Z11" s="797"/>
      <c r="AA11" s="797"/>
      <c r="AB11" s="797"/>
      <c r="AC11" s="797"/>
      <c r="AD11" s="797"/>
      <c r="AE11" s="797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6">
        <v>11016</v>
      </c>
      <c r="AT11" s="197">
        <v>279.39999999999998</v>
      </c>
      <c r="AU11" s="507">
        <f t="shared" ref="AU11:AU16" si="0">AT11*AS11</f>
        <v>3077870.4</v>
      </c>
      <c r="AV11" s="195"/>
      <c r="AW11" s="196">
        <v>11017</v>
      </c>
      <c r="AX11" s="197">
        <f>279.4-0.04</f>
        <v>279.35999999999996</v>
      </c>
      <c r="AY11" s="507">
        <f>AW11*AX11</f>
        <v>3077709.1199999996</v>
      </c>
      <c r="AZ11" s="195"/>
      <c r="BA11" s="196">
        <v>11018</v>
      </c>
      <c r="BB11" s="197">
        <f>279.4-0.05-0.02</f>
        <v>279.33</v>
      </c>
      <c r="BC11" s="507">
        <f>BA11*BB11</f>
        <v>3077657.94</v>
      </c>
      <c r="BD11" s="195"/>
      <c r="BE11" s="195"/>
      <c r="BF11" s="195"/>
      <c r="BG11" s="194">
        <f>AT11+$BH$9</f>
        <v>361.88257536156129</v>
      </c>
      <c r="BH11" s="204">
        <f>BG11*AS11</f>
        <v>3986498.4501829594</v>
      </c>
      <c r="BI11" s="195"/>
      <c r="BJ11" s="194">
        <f>AX11+BK10</f>
        <v>221.27763010819911</v>
      </c>
      <c r="BK11" s="204">
        <f>BJ11*AW11</f>
        <v>2437815.6509020296</v>
      </c>
      <c r="BL11" s="195"/>
      <c r="BM11" s="194">
        <f>BB11+$BN$10</f>
        <v>177.02823368358548</v>
      </c>
      <c r="BN11" s="204">
        <f>BM11*BA11</f>
        <v>1950497.078725745</v>
      </c>
      <c r="BO11" s="176"/>
      <c r="BP11" s="195"/>
      <c r="BQ11" s="195"/>
      <c r="BR11" s="194">
        <f>AT11+$BH$9</f>
        <v>361.88257536156129</v>
      </c>
      <c r="BS11" s="204">
        <f>BR11*AS11</f>
        <v>3986498.4501829594</v>
      </c>
      <c r="BT11" s="195"/>
      <c r="BU11" s="195"/>
      <c r="BV11" s="194">
        <f>AT11+$BH$9+$BW$10</f>
        <v>363.0783411744207</v>
      </c>
      <c r="BW11" s="204">
        <f>BV11*AS11</f>
        <v>3999671.0063774185</v>
      </c>
      <c r="BX11" s="195"/>
      <c r="BY11" s="195"/>
      <c r="BZ11" s="194">
        <f>BV11+$CA$10</f>
        <v>371.44959008538075</v>
      </c>
      <c r="CA11" s="204">
        <f>BZ11*AS11</f>
        <v>4091888.6843805541</v>
      </c>
      <c r="CB11" s="195"/>
      <c r="CC11" s="195"/>
      <c r="CD11" s="504">
        <f>11016+17568</f>
        <v>28584</v>
      </c>
      <c r="CE11" s="331">
        <f>279.4+48.07</f>
        <v>327.46999999999997</v>
      </c>
      <c r="CF11" s="198">
        <f t="shared" ref="CF11:CF16" si="1">CE11*CD11</f>
        <v>9360402.4799999986</v>
      </c>
      <c r="CG11" s="195"/>
      <c r="CH11" s="508">
        <f>11017+17569</f>
        <v>28586</v>
      </c>
      <c r="CI11" s="331">
        <f>279.4-0.04+9.65</f>
        <v>289.00999999999993</v>
      </c>
      <c r="CJ11" s="198">
        <f>CH11*CI11</f>
        <v>8261639.8599999985</v>
      </c>
      <c r="CK11" s="195"/>
      <c r="CL11" s="508">
        <f>11018+17570</f>
        <v>28588</v>
      </c>
      <c r="CM11" s="331">
        <f>279.4-0.05-0.02+9.65</f>
        <v>288.97999999999996</v>
      </c>
      <c r="CN11" s="198">
        <f>CL11*CM11</f>
        <v>8261360.2399999993</v>
      </c>
      <c r="CO11" s="195"/>
      <c r="CP11" s="195"/>
      <c r="CQ11" s="656">
        <f>CE11+$CR$10</f>
        <v>337.87916750649219</v>
      </c>
      <c r="CR11" s="198">
        <f>CQ11*CD11</f>
        <v>9657938.1240055729</v>
      </c>
      <c r="CS11" s="195"/>
      <c r="CT11" s="195"/>
      <c r="CU11" s="195"/>
      <c r="CV11" s="656">
        <f>CQ11+$CW$10</f>
        <v>329.75526027360115</v>
      </c>
      <c r="CW11" s="198">
        <f>CV11*CD11</f>
        <v>9425724.3596606161</v>
      </c>
      <c r="CX11" s="195"/>
      <c r="CY11" s="195"/>
      <c r="CZ11" s="196">
        <v>9720</v>
      </c>
      <c r="DA11" s="197">
        <v>266.89999999999998</v>
      </c>
      <c r="DB11" s="507">
        <f t="shared" ref="DB11:DB16" si="2">DA11*CZ11</f>
        <v>2594268</v>
      </c>
      <c r="DC11" s="195"/>
      <c r="DD11" s="195"/>
      <c r="DE11" s="329" t="s">
        <v>368</v>
      </c>
      <c r="DF11" s="330">
        <f>DJ11+DJ12+DJ13+DJ14</f>
        <v>17873470.350000001</v>
      </c>
      <c r="DG11" s="378">
        <v>266.89999999999998</v>
      </c>
      <c r="DH11" s="380">
        <f>DG11*CZ11</f>
        <v>2594268</v>
      </c>
      <c r="DI11" s="176"/>
      <c r="DJ11" s="204">
        <v>1733600</v>
      </c>
      <c r="DK11" s="514" t="s">
        <v>370</v>
      </c>
      <c r="DL11" s="195"/>
      <c r="DM11" s="195"/>
      <c r="DN11" s="329" t="s">
        <v>368</v>
      </c>
      <c r="DO11" s="330">
        <f>DR11+DR12+DR13+DR14</f>
        <v>22351690.350000001</v>
      </c>
      <c r="DP11" s="525">
        <f>$DG$11+69.8</f>
        <v>336.7</v>
      </c>
      <c r="DQ11" s="380">
        <f t="shared" ref="DQ11:DQ16" si="3">DP11*CZ11</f>
        <v>3272724</v>
      </c>
      <c r="DR11" s="204">
        <v>1733600</v>
      </c>
      <c r="DS11" s="514" t="s">
        <v>370</v>
      </c>
      <c r="DT11" s="195"/>
      <c r="DU11" s="195"/>
      <c r="DV11" s="525">
        <f>$DG$11+70.74</f>
        <v>337.64</v>
      </c>
      <c r="DW11" s="380">
        <f>DV11*CZ11</f>
        <v>3281860.8</v>
      </c>
      <c r="DX11" s="195"/>
      <c r="DY11" s="195"/>
      <c r="DZ11" s="195"/>
      <c r="EA11" s="329" t="s">
        <v>368</v>
      </c>
      <c r="EB11" s="330">
        <f>EE11+EE12+EE13+EE14</f>
        <v>24047729.91</v>
      </c>
      <c r="EC11" s="525">
        <f>$DG$11+70.74+25.8</f>
        <v>363.44</v>
      </c>
      <c r="ED11" s="380">
        <f>EC11*$CZ$11</f>
        <v>3532636.8</v>
      </c>
      <c r="EE11" s="204">
        <v>1733600</v>
      </c>
      <c r="EF11" s="514" t="s">
        <v>370</v>
      </c>
      <c r="EG11" s="188"/>
      <c r="EH11" s="188"/>
      <c r="EI11" s="188"/>
      <c r="EJ11" s="188"/>
      <c r="EK11" s="188"/>
      <c r="EL11" s="188"/>
      <c r="EM11" s="329" t="s">
        <v>368</v>
      </c>
      <c r="EN11" s="330">
        <f>EQ11+EQ12+EQ13+EQ14</f>
        <v>24104171.710000001</v>
      </c>
      <c r="EO11" s="525">
        <f>$DG$11+70.74+25.8+0.88</f>
        <v>364.32</v>
      </c>
      <c r="EP11" s="380">
        <f>EO11*$CZ$11</f>
        <v>3541190.4</v>
      </c>
      <c r="EQ11" s="204">
        <v>1790041.8</v>
      </c>
      <c r="ER11" s="514" t="s">
        <v>370</v>
      </c>
      <c r="ES11" s="215"/>
      <c r="ET11" s="176"/>
      <c r="EU11" s="188"/>
      <c r="EV11" s="188"/>
      <c r="EW11" s="188"/>
      <c r="EX11" s="329" t="s">
        <v>368</v>
      </c>
      <c r="EY11" s="330">
        <f>FB11+FB12+FB13+FB14</f>
        <v>24104171.710000001</v>
      </c>
      <c r="EZ11" s="525">
        <f>$DG$11+70.74+25.8+0.88</f>
        <v>364.32</v>
      </c>
      <c r="FA11" s="380">
        <f>EZ11*$CZ$11</f>
        <v>3541190.4</v>
      </c>
      <c r="FB11" s="204">
        <v>1790041.8</v>
      </c>
      <c r="FC11" s="514" t="s">
        <v>370</v>
      </c>
      <c r="FD11" s="215"/>
      <c r="FE11" s="176"/>
      <c r="FF11" s="188"/>
      <c r="FG11" s="188"/>
      <c r="FH11" s="188"/>
      <c r="FI11" s="188"/>
      <c r="FJ11" s="329" t="s">
        <v>368</v>
      </c>
      <c r="FK11" s="330">
        <f>FN11+FN12+FN13+FN14+0.06</f>
        <v>28972374.57</v>
      </c>
      <c r="FL11" s="525">
        <f>$DG$11+70.74+25.8+0.88+75.89</f>
        <v>440.21</v>
      </c>
      <c r="FM11" s="380">
        <f>FL11*$CZ$11</f>
        <v>4278841.2</v>
      </c>
      <c r="FN11" s="506">
        <v>1790041.8</v>
      </c>
      <c r="FO11" s="568" t="s">
        <v>370</v>
      </c>
      <c r="FP11" s="188"/>
      <c r="FQ11" s="188"/>
      <c r="FR11" s="188"/>
      <c r="FS11" s="188"/>
      <c r="FT11" s="188"/>
      <c r="FU11" s="188"/>
      <c r="FV11" s="188"/>
      <c r="FW11" s="601" t="s">
        <v>432</v>
      </c>
      <c r="FX11" s="598">
        <f>9720-4536</f>
        <v>5184</v>
      </c>
      <c r="FY11" s="584">
        <f>364.32+263.61</f>
        <v>627.93000000000006</v>
      </c>
      <c r="FZ11" s="505">
        <f t="shared" ref="FZ11:FZ16" si="4">FY11*FX11</f>
        <v>3255189.12</v>
      </c>
      <c r="GA11" s="331">
        <v>266.89999999999998</v>
      </c>
      <c r="GB11" s="593">
        <f>266.9+113.87</f>
        <v>380.77</v>
      </c>
      <c r="GC11" s="198">
        <f>GB11*FX11</f>
        <v>1973911.68</v>
      </c>
      <c r="GD11" s="176"/>
      <c r="GE11" s="176"/>
      <c r="GF11" s="176"/>
      <c r="GG11" s="176"/>
      <c r="GH11" s="472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T11" s="215"/>
      <c r="GU11" s="176"/>
      <c r="GV11" s="188"/>
      <c r="GW11" s="188"/>
      <c r="GX11" s="188"/>
      <c r="GY11" s="325"/>
      <c r="GZ11" s="195"/>
      <c r="HA11" s="329" t="s">
        <v>285</v>
      </c>
      <c r="HB11" s="330">
        <v>32825669</v>
      </c>
      <c r="HC11" s="378">
        <f>GU11+$HC$9</f>
        <v>18.9381585</v>
      </c>
      <c r="HD11" s="379">
        <f>HC11*GT11</f>
        <v>0</v>
      </c>
      <c r="HE11" s="323"/>
      <c r="HF11" s="329" t="s">
        <v>285</v>
      </c>
      <c r="HG11" s="330">
        <v>32943694.59</v>
      </c>
      <c r="HH11" s="378">
        <f>HC11+$HH$9</f>
        <v>20.845365399999999</v>
      </c>
      <c r="HI11" s="380">
        <f>HH11*GT11</f>
        <v>0</v>
      </c>
      <c r="HJ11" s="176"/>
      <c r="HK11" s="329" t="s">
        <v>285</v>
      </c>
      <c r="HL11" s="330">
        <v>33542327.59</v>
      </c>
      <c r="HM11" s="378">
        <f>HH11+$HM$9</f>
        <v>30.518835099999997</v>
      </c>
      <c r="HN11" s="380">
        <f>HM11*GT11</f>
        <v>0</v>
      </c>
      <c r="HO11" s="323"/>
      <c r="HP11" s="323"/>
      <c r="HQ11" s="323"/>
      <c r="HR11" s="199">
        <v>347.2314878358751</v>
      </c>
      <c r="HS11" s="200">
        <v>3825102.07</v>
      </c>
      <c r="HT11" s="195"/>
      <c r="HU11" s="195"/>
      <c r="HV11" s="201">
        <f>33417035.12-4916897.38</f>
        <v>28500137.740000002</v>
      </c>
      <c r="HW11" s="202" t="e">
        <f t="shared" ref="HW11:HW15" si="5">HX11/HD11</f>
        <v>#DIV/0!</v>
      </c>
      <c r="HX11" s="203">
        <f>HS11+$HD$9+0.02</f>
        <v>3825102.09</v>
      </c>
      <c r="HY11" s="195"/>
      <c r="HZ11" s="201">
        <f>34422689.12-4916897.38</f>
        <v>29505791.739999998</v>
      </c>
      <c r="IA11" s="202" t="e">
        <f t="shared" ref="IA11:IA15" si="6">IB11/GT11</f>
        <v>#DIV/0!</v>
      </c>
      <c r="IB11" s="204">
        <f>HD11+$IB$9</f>
        <v>167609</v>
      </c>
      <c r="IC11" s="176"/>
      <c r="ID11" s="201">
        <f>34259407.28-4916897.38</f>
        <v>29342509.900000002</v>
      </c>
      <c r="IE11" s="202" t="e">
        <f t="shared" ref="IE11:IE15" si="7">IF11/GT11</f>
        <v>#DIV/0!</v>
      </c>
      <c r="IF11" s="204">
        <f>IB11+$IF$9</f>
        <v>140395.35999999999</v>
      </c>
      <c r="IG11" s="195"/>
      <c r="IH11" s="201">
        <f>II9-4916897.38</f>
        <v>29893262.900000002</v>
      </c>
      <c r="II11" s="202" t="e">
        <f t="shared" ref="II11:II15" si="8">IJ11/GT11</f>
        <v>#DIV/0!</v>
      </c>
      <c r="IJ11" s="205">
        <f>IF11+$IJ$9</f>
        <v>232187.52999999997</v>
      </c>
      <c r="IK11" s="194" t="e">
        <f>II11-IE11</f>
        <v>#DIV/0!</v>
      </c>
      <c r="IL11" s="195" t="e">
        <f>IE11+IK11</f>
        <v>#DIV/0!</v>
      </c>
      <c r="IM11" s="201">
        <f>IN9-4916897.38</f>
        <v>31171016.900000002</v>
      </c>
      <c r="IN11" s="202" t="e">
        <f t="shared" ref="IN11:IN15" si="9">IO11/GT11</f>
        <v>#DIV/0!</v>
      </c>
      <c r="IO11" s="205">
        <f>IJ11+$IO$9</f>
        <v>445146.52999999997</v>
      </c>
      <c r="IP11" s="194" t="e">
        <f>IN11-II11</f>
        <v>#DIV/0!</v>
      </c>
      <c r="IQ11" s="195" t="e">
        <f>II11+IP11</f>
        <v>#DIV/0!</v>
      </c>
      <c r="IR11" s="195"/>
      <c r="IS11" s="195"/>
      <c r="IT11" s="206">
        <f>IU9-4916897.38</f>
        <v>31766165.580000002</v>
      </c>
      <c r="IU11" s="202" t="e">
        <f t="shared" ref="IU11:IU15" si="10">IV11/GT11</f>
        <v>#DIV/0!</v>
      </c>
      <c r="IV11" s="205">
        <f>IO11+$IV$9</f>
        <v>544337.97399999993</v>
      </c>
      <c r="IW11" s="194" t="e">
        <f>IU11-IP11</f>
        <v>#DIV/0!</v>
      </c>
      <c r="IX11" s="195" t="e">
        <f>IP11+IW11</f>
        <v>#DIV/0!</v>
      </c>
      <c r="IY11" s="195"/>
      <c r="IZ11" s="195"/>
      <c r="JA11" s="195"/>
      <c r="JB11" s="207">
        <v>221.75</v>
      </c>
      <c r="JC11" s="208">
        <v>21600</v>
      </c>
      <c r="JD11" s="209">
        <v>199</v>
      </c>
      <c r="JE11" s="210">
        <v>4298400</v>
      </c>
      <c r="JF11" s="209">
        <f t="shared" ref="JF11:JF16" si="11">JG11/JC11</f>
        <v>207.46274675925926</v>
      </c>
      <c r="JG11" s="210">
        <f t="shared" ref="JG11:JG16" si="12">JE11+$JG$9</f>
        <v>4481195.33</v>
      </c>
      <c r="JH11" s="209">
        <f t="shared" ref="JH11:JH16" si="13">JI11/JC11</f>
        <v>220.83825601851854</v>
      </c>
      <c r="JI11" s="210">
        <f>JG11+$JI$9</f>
        <v>4770106.33</v>
      </c>
      <c r="JJ11" s="209">
        <f t="shared" ref="JJ11:JJ16" si="14">JK11/JC11</f>
        <v>221.36449058657408</v>
      </c>
      <c r="JK11" s="210">
        <f>JI11+$JK$9</f>
        <v>4781472.9966700003</v>
      </c>
      <c r="JL11" s="209">
        <f t="shared" ref="JL11:JL16" si="15">JM11/JC11</f>
        <v>221.75029305555555</v>
      </c>
      <c r="JM11" s="210">
        <f>JK11+$JM$9</f>
        <v>4789806.33</v>
      </c>
      <c r="JN11" s="210"/>
    </row>
    <row r="12" spans="1:288" ht="48" x14ac:dyDescent="0.25">
      <c r="A12" s="191" t="s">
        <v>228</v>
      </c>
      <c r="B12" s="192" t="s">
        <v>231</v>
      </c>
      <c r="C12" s="144" t="s">
        <v>230</v>
      </c>
      <c r="D12" s="193">
        <v>27504</v>
      </c>
      <c r="E12" s="193">
        <v>10620</v>
      </c>
      <c r="F12" s="193">
        <v>10620</v>
      </c>
      <c r="G12" s="534">
        <v>27504</v>
      </c>
      <c r="H12" s="534">
        <v>27504</v>
      </c>
      <c r="I12" s="194">
        <f>341.23+41.11</f>
        <v>382.34000000000003</v>
      </c>
      <c r="J12" s="194">
        <f t="shared" ref="J12:J16" si="16">D12*I12</f>
        <v>10515879.360000001</v>
      </c>
      <c r="K12" s="194">
        <v>341.23</v>
      </c>
      <c r="L12" s="194">
        <f t="shared" ref="L12:L16" si="17">G12*K12</f>
        <v>9385189.9199999999</v>
      </c>
      <c r="M12" s="194">
        <v>341.23</v>
      </c>
      <c r="N12" s="194">
        <f t="shared" ref="N12:N16" si="18">H12*M12</f>
        <v>9385189.9199999999</v>
      </c>
      <c r="O12" s="211"/>
      <c r="P12" s="211"/>
      <c r="Q12" s="211"/>
      <c r="R12" s="800">
        <v>27504</v>
      </c>
      <c r="S12" s="505">
        <v>341.23</v>
      </c>
      <c r="T12" s="507">
        <f t="shared" ref="T12:T16" si="19">S12*R12</f>
        <v>9385189.9199999999</v>
      </c>
      <c r="U12" s="211"/>
      <c r="V12" s="505">
        <f>341.23+41.11</f>
        <v>382.34000000000003</v>
      </c>
      <c r="W12" s="507">
        <f>V12*R12</f>
        <v>10515879.360000001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196">
        <v>10620</v>
      </c>
      <c r="AT12" s="505">
        <v>279.41000000000003</v>
      </c>
      <c r="AU12" s="507">
        <f t="shared" si="0"/>
        <v>2967334.2</v>
      </c>
      <c r="AV12" s="211"/>
      <c r="AW12" s="196">
        <v>10621</v>
      </c>
      <c r="AX12" s="584">
        <f>279.41-0.02</f>
        <v>279.39000000000004</v>
      </c>
      <c r="AY12" s="507">
        <f t="shared" ref="AY12:AY16" si="20">AW12*AX12</f>
        <v>2967401.1900000004</v>
      </c>
      <c r="AZ12" s="211"/>
      <c r="BA12" s="196">
        <v>10622</v>
      </c>
      <c r="BB12" s="584">
        <f>279.41-0.04</f>
        <v>279.37</v>
      </c>
      <c r="BC12" s="507">
        <f t="shared" ref="BC12:BC16" si="21">BA12*BB12</f>
        <v>2967468.14</v>
      </c>
      <c r="BD12" s="211"/>
      <c r="BE12" s="211"/>
      <c r="BF12" s="211"/>
      <c r="BG12" s="194">
        <f t="shared" ref="BG12:BG16" si="22">AT12+$BH$9</f>
        <v>361.89257536156134</v>
      </c>
      <c r="BH12" s="204">
        <f t="shared" ref="BH12:BH16" si="23">BG12*AS12</f>
        <v>3843299.1503397813</v>
      </c>
      <c r="BI12" s="211"/>
      <c r="BJ12" s="194">
        <f>AX12+BK10</f>
        <v>221.30763010819919</v>
      </c>
      <c r="BK12" s="204">
        <f t="shared" ref="BK12:BK16" si="24">BJ12*AW12</f>
        <v>2350508.3393791835</v>
      </c>
      <c r="BL12" s="211"/>
      <c r="BM12" s="194">
        <f t="shared" ref="BM12:BM16" si="25">BB12+$BN$10</f>
        <v>177.0682336835855</v>
      </c>
      <c r="BN12" s="204">
        <f t="shared" ref="BN12:BN16" si="26">BM12*BA12</f>
        <v>1880818.7781870451</v>
      </c>
      <c r="BO12" s="176"/>
      <c r="BP12" s="211"/>
      <c r="BQ12" s="211"/>
      <c r="BR12" s="194">
        <f t="shared" ref="BR12:BR16" si="27">AT12+$BH$9</f>
        <v>361.89257536156134</v>
      </c>
      <c r="BS12" s="204">
        <f t="shared" ref="BS12:BS16" si="28">BR12*AS12</f>
        <v>3843299.1503397813</v>
      </c>
      <c r="BT12" s="211"/>
      <c r="BU12" s="211"/>
      <c r="BV12" s="194">
        <f>AT12+$BH$9+$BW$10</f>
        <v>363.08834117442075</v>
      </c>
      <c r="BW12" s="204">
        <f t="shared" ref="BW12:BW16" si="29">BV12*AS12</f>
        <v>3855998.1832723483</v>
      </c>
      <c r="BX12" s="211"/>
      <c r="BY12" s="211"/>
      <c r="BZ12" s="194">
        <f t="shared" ref="BZ12:BZ16" si="30">BV12+$CA$10</f>
        <v>371.4595900853808</v>
      </c>
      <c r="CA12" s="204">
        <f t="shared" ref="CA12:CA16" si="31">BZ12*AS12</f>
        <v>3944900.8467067443</v>
      </c>
      <c r="CB12" s="211"/>
      <c r="CC12" s="211"/>
      <c r="CD12" s="504">
        <f>10620+17784</f>
        <v>28404</v>
      </c>
      <c r="CE12" s="506">
        <f>279.41+48.07</f>
        <v>327.48</v>
      </c>
      <c r="CF12" s="198">
        <f t="shared" si="1"/>
        <v>9301741.9199999999</v>
      </c>
      <c r="CG12" s="211"/>
      <c r="CH12" s="508">
        <f>10621+17785</f>
        <v>28406</v>
      </c>
      <c r="CI12" s="656">
        <f>279.41-0.02+9.65</f>
        <v>289.04000000000002</v>
      </c>
      <c r="CJ12" s="198">
        <f t="shared" ref="CJ12:CJ16" si="32">CH12*CI12</f>
        <v>8210470.2400000002</v>
      </c>
      <c r="CK12" s="211"/>
      <c r="CL12" s="508">
        <f>10622+17786</f>
        <v>28408</v>
      </c>
      <c r="CM12" s="656">
        <f>279.41-0.04+9.65</f>
        <v>289.02</v>
      </c>
      <c r="CN12" s="198">
        <f t="shared" ref="CN12:CN16" si="33">CL12*CM12</f>
        <v>8210480.1599999992</v>
      </c>
      <c r="CO12" s="211"/>
      <c r="CP12" s="211"/>
      <c r="CQ12" s="656">
        <f t="shared" ref="CQ12:CQ16" si="34">CE12+$CR$10</f>
        <v>337.88916750649224</v>
      </c>
      <c r="CR12" s="198">
        <f t="shared" ref="CR12:CR16" si="35">CQ12*CD12</f>
        <v>9597403.9138544053</v>
      </c>
      <c r="CS12" s="211"/>
      <c r="CT12" s="211"/>
      <c r="CU12" s="211"/>
      <c r="CV12" s="656">
        <f>CQ12+$CW$10</f>
        <v>329.7652602736012</v>
      </c>
      <c r="CW12" s="198">
        <f t="shared" ref="CW12:CW16" si="36">CV12*CD12</f>
        <v>9366652.4528113678</v>
      </c>
      <c r="CX12" s="211"/>
      <c r="CY12" s="211"/>
      <c r="CZ12" s="196">
        <v>9468</v>
      </c>
      <c r="DA12" s="505">
        <v>266.93</v>
      </c>
      <c r="DB12" s="507">
        <f t="shared" si="2"/>
        <v>2527293.2400000002</v>
      </c>
      <c r="DC12" s="176"/>
      <c r="DD12" s="176"/>
      <c r="DE12" s="329" t="s">
        <v>372</v>
      </c>
      <c r="DF12" s="330">
        <v>763350.6</v>
      </c>
      <c r="DG12" s="378">
        <v>266.93</v>
      </c>
      <c r="DH12" s="380">
        <f t="shared" ref="DH12:DH16" si="37">DG12*CZ12</f>
        <v>2527293.2400000002</v>
      </c>
      <c r="DI12" s="176"/>
      <c r="DJ12" s="204">
        <v>3665300</v>
      </c>
      <c r="DK12" s="514" t="s">
        <v>369</v>
      </c>
      <c r="DL12" s="176"/>
      <c r="DM12" s="176"/>
      <c r="DN12" s="329" t="s">
        <v>372</v>
      </c>
      <c r="DO12" s="330">
        <v>763350.6</v>
      </c>
      <c r="DP12" s="524">
        <f>$DG$12+69.79416</f>
        <v>336.72415999999998</v>
      </c>
      <c r="DQ12" s="380">
        <f t="shared" si="3"/>
        <v>3188104.3468799996</v>
      </c>
      <c r="DR12" s="204">
        <v>3824352</v>
      </c>
      <c r="DS12" s="204" t="s">
        <v>369</v>
      </c>
      <c r="DT12" s="176"/>
      <c r="DU12" s="176"/>
      <c r="DV12" s="533">
        <f>$DG$12+70.735832</f>
        <v>337.66583200000002</v>
      </c>
      <c r="DW12" s="380">
        <f t="shared" ref="DW12:DW16" si="38">DV12*CZ12</f>
        <v>3197020.0973760001</v>
      </c>
      <c r="DX12" s="176"/>
      <c r="DY12" s="211"/>
      <c r="DZ12" s="211"/>
      <c r="EA12" s="332" t="s">
        <v>372</v>
      </c>
      <c r="EB12" s="333">
        <v>763350.6</v>
      </c>
      <c r="EC12" s="533">
        <f>$DG$12+70.735832+23.796709</f>
        <v>361.46254100000004</v>
      </c>
      <c r="ED12" s="380">
        <f>EC12*$CZ$12</f>
        <v>3422327.3381880005</v>
      </c>
      <c r="EE12" s="204">
        <v>3824352</v>
      </c>
      <c r="EF12" s="204" t="s">
        <v>369</v>
      </c>
      <c r="EG12" s="176"/>
      <c r="EH12" s="176"/>
      <c r="EI12" s="176"/>
      <c r="EJ12" s="176"/>
      <c r="EK12" s="176"/>
      <c r="EL12" s="176"/>
      <c r="EM12" s="332" t="s">
        <v>372</v>
      </c>
      <c r="EN12" s="333">
        <v>763366.65</v>
      </c>
      <c r="EO12" s="533">
        <f>$DG$12+70.735832+23.796709+0.878737</f>
        <v>362.34127800000005</v>
      </c>
      <c r="EP12" s="380">
        <f>EO12*$CZ$12</f>
        <v>3430647.2201040005</v>
      </c>
      <c r="EQ12" s="204">
        <v>3824352</v>
      </c>
      <c r="ER12" s="204" t="s">
        <v>369</v>
      </c>
      <c r="ES12" s="553"/>
      <c r="ET12" s="176"/>
      <c r="EU12" s="176"/>
      <c r="EV12" s="176"/>
      <c r="EW12" s="176"/>
      <c r="EX12" s="332" t="s">
        <v>372</v>
      </c>
      <c r="EY12" s="333">
        <v>763366.65</v>
      </c>
      <c r="EZ12" s="533">
        <f>$DG$12+70.735832+23.796709+0.878737</f>
        <v>362.34127800000005</v>
      </c>
      <c r="FA12" s="380">
        <f>EZ12*$CZ$12</f>
        <v>3430647.2201040005</v>
      </c>
      <c r="FB12" s="204">
        <v>3824352</v>
      </c>
      <c r="FC12" s="204" t="s">
        <v>369</v>
      </c>
      <c r="FD12" s="553"/>
      <c r="FE12" s="176"/>
      <c r="FF12" s="176"/>
      <c r="FG12" s="176"/>
      <c r="FH12" s="176"/>
      <c r="FI12" s="176"/>
      <c r="FJ12" s="332" t="s">
        <v>372</v>
      </c>
      <c r="FK12" s="333">
        <v>763366.65</v>
      </c>
      <c r="FL12" s="577">
        <f>$DG$12+70.735832+23.796709+0.878737+75.892879</f>
        <v>438.23415700000004</v>
      </c>
      <c r="FM12" s="380">
        <f>FL12*$CZ$12</f>
        <v>4149200.9984760005</v>
      </c>
      <c r="FN12" s="506">
        <v>3824352</v>
      </c>
      <c r="FO12" s="506" t="s">
        <v>369</v>
      </c>
      <c r="FP12" s="176"/>
      <c r="FQ12" s="176"/>
      <c r="FR12" s="176"/>
      <c r="FS12" s="176"/>
      <c r="FT12" s="176"/>
      <c r="FU12" s="176"/>
      <c r="FV12" s="176"/>
      <c r="FW12" s="601" t="s">
        <v>325</v>
      </c>
      <c r="FX12" s="598">
        <f>9468-3276</f>
        <v>6192</v>
      </c>
      <c r="FY12" s="582">
        <f>362.34+263.61</f>
        <v>625.95000000000005</v>
      </c>
      <c r="FZ12" s="505">
        <f t="shared" si="4"/>
        <v>3875882.4000000004</v>
      </c>
      <c r="GA12" s="331">
        <f>266.93</f>
        <v>266.93</v>
      </c>
      <c r="GB12" s="593">
        <f>266.93+113.87</f>
        <v>380.8</v>
      </c>
      <c r="GC12" s="198">
        <f t="shared" ref="GC12:GC16" si="39">GB12*FX12</f>
        <v>2357913.6000000001</v>
      </c>
      <c r="GD12" s="176"/>
      <c r="GE12" s="176"/>
      <c r="GF12" s="176"/>
      <c r="GG12" s="176"/>
      <c r="GH12" s="472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T12" s="553"/>
      <c r="GU12" s="176"/>
      <c r="GV12" s="176"/>
      <c r="GW12" s="176"/>
      <c r="GX12" s="176"/>
      <c r="GY12" s="325"/>
      <c r="GZ12" s="211"/>
      <c r="HA12" s="329" t="s">
        <v>284</v>
      </c>
      <c r="HB12" s="330">
        <v>8330911.2800000003</v>
      </c>
      <c r="HC12" s="378">
        <f t="shared" ref="HC12:HC16" si="40">GU12+$HC$9</f>
        <v>18.9381585</v>
      </c>
      <c r="HD12" s="379">
        <f t="shared" ref="HD12:HD16" si="41">HC12*GT12</f>
        <v>0</v>
      </c>
      <c r="HE12" s="176"/>
      <c r="HF12" s="329" t="s">
        <v>284</v>
      </c>
      <c r="HG12" s="330">
        <v>8330911.2800000003</v>
      </c>
      <c r="HH12" s="378">
        <f t="shared" ref="HH12:HH16" si="42">HC12+$HH$9</f>
        <v>20.845365399999999</v>
      </c>
      <c r="HI12" s="380">
        <f t="shared" ref="HI12:HI16" si="43">HH12*GT12</f>
        <v>0</v>
      </c>
      <c r="HJ12" s="176"/>
      <c r="HK12" s="329" t="s">
        <v>284</v>
      </c>
      <c r="HL12" s="330">
        <v>8330911.2800000003</v>
      </c>
      <c r="HM12" s="378">
        <f t="shared" ref="HM12:HM16" si="44">HH12+$HM$9</f>
        <v>30.518835099999997</v>
      </c>
      <c r="HN12" s="380">
        <f t="shared" ref="HN12:HN16" si="45">HM12*GT12</f>
        <v>0</v>
      </c>
      <c r="HO12" s="176"/>
      <c r="HP12" s="176"/>
      <c r="HQ12" s="176"/>
      <c r="HR12" s="199">
        <v>407.30630218855219</v>
      </c>
      <c r="HS12" s="212">
        <v>2903279.3220000002</v>
      </c>
      <c r="HT12" s="211"/>
      <c r="HU12" s="211"/>
      <c r="HV12" s="213" t="e">
        <f>(HV11-#REF!)/6</f>
        <v>#REF!</v>
      </c>
      <c r="HW12" s="202" t="e">
        <f t="shared" si="5"/>
        <v>#DIV/0!</v>
      </c>
      <c r="HX12" s="204">
        <f t="shared" ref="HX12:HX15" si="46">HS12+$HD$9</f>
        <v>2903279.3220000002</v>
      </c>
      <c r="HY12" s="211"/>
      <c r="HZ12" s="213">
        <f>(HZ11-HB13)/6</f>
        <v>835172.33666666655</v>
      </c>
      <c r="IA12" s="202" t="e">
        <f t="shared" si="6"/>
        <v>#DIV/0!</v>
      </c>
      <c r="IB12" s="204">
        <f>HD12+$IB$9</f>
        <v>167609</v>
      </c>
      <c r="IC12" s="176"/>
      <c r="ID12" s="213">
        <f>(ID11-HZ11)/6</f>
        <v>-27213.639999999355</v>
      </c>
      <c r="IE12" s="202" t="e">
        <f t="shared" si="7"/>
        <v>#DIV/0!</v>
      </c>
      <c r="IF12" s="204">
        <f t="shared" ref="IF12:IF15" si="47">IB12+$IF$9</f>
        <v>140395.35999999999</v>
      </c>
      <c r="IG12" s="211"/>
      <c r="IH12" s="213">
        <f>(IH11-ID11)/6</f>
        <v>91792.166666666672</v>
      </c>
      <c r="II12" s="202" t="e">
        <f t="shared" si="8"/>
        <v>#DIV/0!</v>
      </c>
      <c r="IJ12" s="205">
        <f t="shared" ref="IJ12:IJ15" si="48">IF12+$IJ$9</f>
        <v>232187.52999999997</v>
      </c>
      <c r="IK12" s="194" t="e">
        <f t="shared" ref="IK12:IK15" si="49">II12-IE12</f>
        <v>#DIV/0!</v>
      </c>
      <c r="IL12" s="211"/>
      <c r="IM12" s="213">
        <f>(IM11-IH11)/6</f>
        <v>212959</v>
      </c>
      <c r="IN12" s="202" t="e">
        <f t="shared" si="9"/>
        <v>#DIV/0!</v>
      </c>
      <c r="IO12" s="205">
        <f t="shared" ref="IO12:IO15" si="50">IJ12+$IO$9</f>
        <v>445146.52999999997</v>
      </c>
      <c r="IP12" s="194" t="e">
        <f t="shared" ref="IP12:IP15" si="51">IN12-II12</f>
        <v>#DIV/0!</v>
      </c>
      <c r="IQ12" s="211"/>
      <c r="IR12" s="211"/>
      <c r="IS12" s="211"/>
      <c r="IT12" s="214">
        <f>(IT11-IM11)/6</f>
        <v>99191.446666666612</v>
      </c>
      <c r="IU12" s="202" t="e">
        <f t="shared" si="10"/>
        <v>#DIV/0!</v>
      </c>
      <c r="IV12" s="205">
        <f t="shared" ref="IV12:IV15" si="52">IO12+$IV$9</f>
        <v>544337.97399999993</v>
      </c>
      <c r="IW12" s="194" t="e">
        <f t="shared" ref="IW12:IW15" si="53">IU12-IP12</f>
        <v>#DIV/0!</v>
      </c>
      <c r="IX12" s="211"/>
      <c r="IY12" s="211"/>
      <c r="IZ12" s="211"/>
      <c r="JA12" s="211"/>
      <c r="JB12" s="207">
        <v>229.88</v>
      </c>
      <c r="JC12" s="208">
        <v>15696</v>
      </c>
      <c r="JD12" s="209">
        <v>198.58</v>
      </c>
      <c r="JE12" s="210">
        <v>3116836.4</v>
      </c>
      <c r="JF12" s="209">
        <f t="shared" si="11"/>
        <v>210.22118565239552</v>
      </c>
      <c r="JG12" s="210">
        <f t="shared" si="12"/>
        <v>3299631.73</v>
      </c>
      <c r="JH12" s="209">
        <f t="shared" si="13"/>
        <v>228.6278497706422</v>
      </c>
      <c r="JI12" s="210">
        <f t="shared" ref="JI12:JI16" si="54">JG12+$JI$9</f>
        <v>3588542.73</v>
      </c>
      <c r="JJ12" s="209">
        <f t="shared" si="14"/>
        <v>229.35202578172783</v>
      </c>
      <c r="JK12" s="210">
        <f t="shared" ref="JK12:JK16" si="55">JI12+$JK$9</f>
        <v>3599909.3966700002</v>
      </c>
      <c r="JL12" s="209">
        <f t="shared" si="15"/>
        <v>229.88294661060144</v>
      </c>
      <c r="JM12" s="210">
        <f t="shared" ref="JM12:JM16" si="56">JK12+$JM$9</f>
        <v>3608242.73</v>
      </c>
      <c r="JN12" s="210"/>
    </row>
    <row r="13" spans="1:288" ht="60" x14ac:dyDescent="0.25">
      <c r="A13" s="191" t="s">
        <v>228</v>
      </c>
      <c r="B13" s="192" t="s">
        <v>232</v>
      </c>
      <c r="C13" s="144" t="s">
        <v>230</v>
      </c>
      <c r="D13" s="193">
        <v>11376</v>
      </c>
      <c r="E13" s="193">
        <v>10080</v>
      </c>
      <c r="F13" s="193">
        <v>10080</v>
      </c>
      <c r="G13" s="534">
        <v>11376</v>
      </c>
      <c r="H13" s="534">
        <v>11376</v>
      </c>
      <c r="I13" s="769">
        <f>341.18+41.11+0.0236662</f>
        <v>382.3136662</v>
      </c>
      <c r="J13" s="194">
        <f>D13*I13</f>
        <v>4349200.2666912004</v>
      </c>
      <c r="K13" s="769">
        <f>341.18-0.003516</f>
        <v>341.17648400000002</v>
      </c>
      <c r="L13" s="769">
        <f>G13*K13-13.37</f>
        <v>3881210.3119840003</v>
      </c>
      <c r="M13" s="769">
        <f>341.18-0.003516</f>
        <v>341.17648400000002</v>
      </c>
      <c r="N13" s="769">
        <f>H13*M13-13.37</f>
        <v>3881210.3119840003</v>
      </c>
      <c r="O13" s="211"/>
      <c r="P13" s="211"/>
      <c r="Q13" s="211"/>
      <c r="R13" s="800">
        <v>11376</v>
      </c>
      <c r="S13" s="505">
        <v>341.18</v>
      </c>
      <c r="T13" s="793">
        <f>S13*R13-13.37</f>
        <v>3881250.31</v>
      </c>
      <c r="U13" s="211"/>
      <c r="V13" s="803">
        <f>341.18+41.11+0.0236662</f>
        <v>382.3136662</v>
      </c>
      <c r="W13" s="507">
        <f t="shared" ref="W13:W16" si="57">V13*R13</f>
        <v>4349200.2666912004</v>
      </c>
      <c r="X13" s="211"/>
      <c r="Y13" s="211"/>
      <c r="Z13" s="211"/>
      <c r="AA13" s="211"/>
      <c r="AB13" s="211"/>
      <c r="AC13" s="211"/>
      <c r="AD13" s="211"/>
      <c r="AE13" s="211"/>
      <c r="AF13" s="802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196">
        <v>10080</v>
      </c>
      <c r="AT13" s="505">
        <v>279.39</v>
      </c>
      <c r="AU13" s="507">
        <f t="shared" si="0"/>
        <v>2816251.1999999997</v>
      </c>
      <c r="AV13" s="211"/>
      <c r="AW13" s="196">
        <v>10080</v>
      </c>
      <c r="AX13" s="584">
        <f>279.39</f>
        <v>279.39</v>
      </c>
      <c r="AY13" s="507">
        <f t="shared" si="20"/>
        <v>2816251.1999999997</v>
      </c>
      <c r="AZ13" s="211"/>
      <c r="BA13" s="196">
        <v>10080</v>
      </c>
      <c r="BB13" s="584">
        <v>279.39</v>
      </c>
      <c r="BC13" s="507">
        <f t="shared" si="21"/>
        <v>2816251.1999999997</v>
      </c>
      <c r="BD13" s="211"/>
      <c r="BE13" s="211"/>
      <c r="BF13" s="211"/>
      <c r="BG13" s="194">
        <f t="shared" si="22"/>
        <v>361.8725753615613</v>
      </c>
      <c r="BH13" s="204">
        <f t="shared" si="23"/>
        <v>3647675.559644538</v>
      </c>
      <c r="BI13" s="211"/>
      <c r="BJ13" s="194">
        <f>AX13+BK10</f>
        <v>221.30763010819913</v>
      </c>
      <c r="BK13" s="204">
        <f t="shared" si="24"/>
        <v>2230780.9114906471</v>
      </c>
      <c r="BL13" s="211"/>
      <c r="BM13" s="194">
        <f t="shared" si="25"/>
        <v>177.08823368358549</v>
      </c>
      <c r="BN13" s="204">
        <f t="shared" si="26"/>
        <v>1785049.3955305417</v>
      </c>
      <c r="BO13" s="176"/>
      <c r="BP13" s="211"/>
      <c r="BQ13" s="211"/>
      <c r="BR13" s="194">
        <f t="shared" si="27"/>
        <v>361.8725753615613</v>
      </c>
      <c r="BS13" s="204">
        <f t="shared" si="28"/>
        <v>3647675.559644538</v>
      </c>
      <c r="BT13" s="211"/>
      <c r="BU13" s="211"/>
      <c r="BV13" s="194">
        <f t="shared" ref="BV13:BV16" si="58">AT13+$BH$9+$BW$10</f>
        <v>363.06834117442071</v>
      </c>
      <c r="BW13" s="204">
        <f t="shared" si="29"/>
        <v>3659728.8790381607</v>
      </c>
      <c r="BX13" s="211"/>
      <c r="BY13" s="211"/>
      <c r="BZ13" s="194">
        <f t="shared" si="30"/>
        <v>371.43959008538076</v>
      </c>
      <c r="CA13" s="204">
        <f t="shared" si="31"/>
        <v>3744111.0680606379</v>
      </c>
      <c r="CB13" s="211"/>
      <c r="CC13" s="211"/>
      <c r="CD13" s="504">
        <f>10080+2700</f>
        <v>12780</v>
      </c>
      <c r="CE13" s="506">
        <f>279.39+48.07</f>
        <v>327.45999999999998</v>
      </c>
      <c r="CF13" s="198">
        <f t="shared" si="1"/>
        <v>4184938.8</v>
      </c>
      <c r="CG13" s="211"/>
      <c r="CH13" s="508">
        <f>10080+2701</f>
        <v>12781</v>
      </c>
      <c r="CI13" s="656">
        <f>279.39+9.64</f>
        <v>289.02999999999997</v>
      </c>
      <c r="CJ13" s="198">
        <f t="shared" si="32"/>
        <v>3694092.4299999997</v>
      </c>
      <c r="CK13" s="211"/>
      <c r="CL13" s="508">
        <f>10080+2702</f>
        <v>12782</v>
      </c>
      <c r="CM13" s="656">
        <f>279.39+9.65</f>
        <v>289.03999999999996</v>
      </c>
      <c r="CN13" s="198">
        <f t="shared" si="33"/>
        <v>3694509.2799999993</v>
      </c>
      <c r="CO13" s="211"/>
      <c r="CP13" s="211"/>
      <c r="CQ13" s="656">
        <f t="shared" si="34"/>
        <v>337.8691675064922</v>
      </c>
      <c r="CR13" s="198">
        <f t="shared" si="35"/>
        <v>4317967.9607329704</v>
      </c>
      <c r="CS13" s="211"/>
      <c r="CT13" s="211"/>
      <c r="CU13" s="211"/>
      <c r="CV13" s="656">
        <f t="shared" ref="CV13:CV16" si="59">CQ13+$CW$10</f>
        <v>329.74526027360116</v>
      </c>
      <c r="CW13" s="198">
        <f t="shared" si="36"/>
        <v>4214144.4262966225</v>
      </c>
      <c r="CX13" s="211"/>
      <c r="CY13" s="211"/>
      <c r="CZ13" s="196">
        <v>10080</v>
      </c>
      <c r="DA13" s="505">
        <v>266.58</v>
      </c>
      <c r="DB13" s="507">
        <f t="shared" si="2"/>
        <v>2687126.4</v>
      </c>
      <c r="DC13" s="176"/>
      <c r="DD13" s="176"/>
      <c r="DE13" s="329" t="s">
        <v>373</v>
      </c>
      <c r="DF13" s="331">
        <f>DF11-DF12</f>
        <v>17110119.75</v>
      </c>
      <c r="DG13" s="378">
        <v>266.58</v>
      </c>
      <c r="DH13" s="380">
        <f t="shared" si="37"/>
        <v>2687126.4</v>
      </c>
      <c r="DI13" s="176"/>
      <c r="DJ13" s="204">
        <v>10361400</v>
      </c>
      <c r="DK13" s="514" t="s">
        <v>371</v>
      </c>
      <c r="DL13" s="176">
        <f>DJ11+DJ12+DJ13</f>
        <v>15760300</v>
      </c>
      <c r="DM13" s="176">
        <f>DO13-DF13</f>
        <v>4478220</v>
      </c>
      <c r="DN13" s="329" t="s">
        <v>373</v>
      </c>
      <c r="DO13" s="331">
        <f>DO11-DO12</f>
        <v>21588339.75</v>
      </c>
      <c r="DP13" s="525">
        <f>$DG$13+69.81</f>
        <v>336.39</v>
      </c>
      <c r="DQ13" s="380">
        <f t="shared" si="3"/>
        <v>3390811.1999999997</v>
      </c>
      <c r="DR13" s="204">
        <v>14680568</v>
      </c>
      <c r="DS13" s="514" t="s">
        <v>371</v>
      </c>
      <c r="DT13" s="176">
        <f>DR11+DR12+DR13</f>
        <v>20238520</v>
      </c>
      <c r="DU13" s="176" t="s">
        <v>382</v>
      </c>
      <c r="DV13" s="525">
        <f>$DG$13+70.74</f>
        <v>337.32</v>
      </c>
      <c r="DW13" s="380">
        <f t="shared" si="38"/>
        <v>3400185.6</v>
      </c>
      <c r="DX13" s="176"/>
      <c r="DY13" s="211"/>
      <c r="DZ13" s="211"/>
      <c r="EA13" s="332" t="s">
        <v>373</v>
      </c>
      <c r="EB13" s="539">
        <f>EB11-EB12</f>
        <v>23284379.309999999</v>
      </c>
      <c r="EC13" s="525">
        <f>$DG$13+70.74+25.8</f>
        <v>363.12</v>
      </c>
      <c r="ED13" s="380">
        <f>EC13*$CZ$13</f>
        <v>3660249.6</v>
      </c>
      <c r="EE13" s="204">
        <f>14680568+1562388</f>
        <v>16242956</v>
      </c>
      <c r="EF13" s="514" t="s">
        <v>371</v>
      </c>
      <c r="EG13" s="215">
        <f>EE11+EE12+EE13</f>
        <v>21800908</v>
      </c>
      <c r="EH13" s="188"/>
      <c r="EI13" s="188"/>
      <c r="EJ13" s="188"/>
      <c r="EK13" s="188"/>
      <c r="EL13" s="188"/>
      <c r="EM13" s="332" t="s">
        <v>373</v>
      </c>
      <c r="EN13" s="539">
        <f>EN11-EN12</f>
        <v>23340805.060000002</v>
      </c>
      <c r="EO13" s="525">
        <f>$DG$13+70.74+25.8+0.88</f>
        <v>364</v>
      </c>
      <c r="EP13" s="380">
        <f>EO13*$CZ$13</f>
        <v>3669120</v>
      </c>
      <c r="EQ13" s="204">
        <f>14680568+1562388</f>
        <v>16242956</v>
      </c>
      <c r="ER13" s="514" t="s">
        <v>371</v>
      </c>
      <c r="ES13" s="215">
        <f>EQ11+EQ12+EQ13</f>
        <v>21857349.800000001</v>
      </c>
      <c r="ET13" s="176"/>
      <c r="EU13" s="188"/>
      <c r="EV13" s="188"/>
      <c r="EW13" s="188"/>
      <c r="EX13" s="332" t="s">
        <v>373</v>
      </c>
      <c r="EY13" s="539">
        <f>EY11-EY12</f>
        <v>23340805.060000002</v>
      </c>
      <c r="EZ13" s="525">
        <f>$DG$13+70.74+25.8+0.88</f>
        <v>364</v>
      </c>
      <c r="FA13" s="380">
        <f>EZ13*$CZ$13</f>
        <v>3669120</v>
      </c>
      <c r="FB13" s="204">
        <f>14680568+1562388</f>
        <v>16242956</v>
      </c>
      <c r="FC13" s="514" t="s">
        <v>371</v>
      </c>
      <c r="FD13" s="215">
        <f>FB11+FB12+FB13</f>
        <v>21857349.800000001</v>
      </c>
      <c r="FE13" s="176"/>
      <c r="FF13" s="188"/>
      <c r="FG13" s="188"/>
      <c r="FH13" s="188"/>
      <c r="FI13" s="188"/>
      <c r="FJ13" s="332" t="s">
        <v>373</v>
      </c>
      <c r="FK13" s="539">
        <f>FK11-FK12</f>
        <v>28209007.920000002</v>
      </c>
      <c r="FL13" s="525">
        <f>$DG$13+70.74+25.8+0.88+75.89</f>
        <v>439.89</v>
      </c>
      <c r="FM13" s="380">
        <f>FL13*$CZ$13</f>
        <v>4434091.2</v>
      </c>
      <c r="FN13" s="506">
        <f>14680568+1562388+4868202.8</f>
        <v>21111158.800000001</v>
      </c>
      <c r="FO13" s="568" t="s">
        <v>371</v>
      </c>
      <c r="FP13" s="188"/>
      <c r="FQ13" s="188"/>
      <c r="FR13" s="188"/>
      <c r="FS13" s="188"/>
      <c r="FT13" s="188"/>
      <c r="FU13" s="188"/>
      <c r="FV13" s="188"/>
      <c r="FW13" s="601" t="s">
        <v>433</v>
      </c>
      <c r="FX13" s="598">
        <f>10080-5984</f>
        <v>4096</v>
      </c>
      <c r="FY13" s="505">
        <f>364+263.61</f>
        <v>627.61</v>
      </c>
      <c r="FZ13" s="505">
        <f t="shared" si="4"/>
        <v>2570690.5600000001</v>
      </c>
      <c r="GA13" s="331">
        <f>266.58</f>
        <v>266.58</v>
      </c>
      <c r="GB13" s="594">
        <f>266.58+113.875313</f>
        <v>380.45531299999999</v>
      </c>
      <c r="GC13" s="198">
        <f t="shared" si="39"/>
        <v>1558344.962048</v>
      </c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T13" s="215">
        <f>FN11+FN12+FN13</f>
        <v>26725552.600000001</v>
      </c>
      <c r="GU13" s="176"/>
      <c r="GV13" s="188"/>
      <c r="GW13" s="188"/>
      <c r="GX13" s="188"/>
      <c r="GY13" s="325"/>
      <c r="GZ13" s="211"/>
      <c r="HA13" s="329" t="s">
        <v>283</v>
      </c>
      <c r="HB13" s="331">
        <f>HB11-HB12</f>
        <v>24494757.719999999</v>
      </c>
      <c r="HC13" s="378">
        <f t="shared" si="40"/>
        <v>18.9381585</v>
      </c>
      <c r="HD13" s="379">
        <f t="shared" si="41"/>
        <v>506132751.13888711</v>
      </c>
      <c r="HE13" s="176"/>
      <c r="HF13" s="329" t="s">
        <v>283</v>
      </c>
      <c r="HG13" s="331">
        <f>HG11-HG12</f>
        <v>24612783.309999999</v>
      </c>
      <c r="HH13" s="378">
        <f t="shared" si="42"/>
        <v>20.845365399999999</v>
      </c>
      <c r="HI13" s="380">
        <f t="shared" si="43"/>
        <v>557103909.46392</v>
      </c>
      <c r="HJ13" s="176"/>
      <c r="HK13" s="329" t="s">
        <v>283</v>
      </c>
      <c r="HL13" s="331">
        <f>HL11-HL12</f>
        <v>25211416.309999999</v>
      </c>
      <c r="HM13" s="378">
        <f t="shared" si="44"/>
        <v>30.518835099999997</v>
      </c>
      <c r="HN13" s="380">
        <f t="shared" si="45"/>
        <v>815632732.75577617</v>
      </c>
      <c r="HO13" s="176"/>
      <c r="HP13" s="176"/>
      <c r="HQ13" s="176"/>
      <c r="HR13" s="199">
        <v>433.15557916666666</v>
      </c>
      <c r="HS13" s="212">
        <v>3118720.17</v>
      </c>
      <c r="HT13" s="211"/>
      <c r="HU13" s="211"/>
      <c r="HV13" s="211"/>
      <c r="HW13" s="202">
        <f t="shared" si="5"/>
        <v>6.1618620075115371E-3</v>
      </c>
      <c r="HX13" s="204">
        <f t="shared" si="46"/>
        <v>3118720.17</v>
      </c>
      <c r="HY13" s="211"/>
      <c r="HZ13" s="215"/>
      <c r="IA13" s="202">
        <f t="shared" si="6"/>
        <v>18.944429988657635</v>
      </c>
      <c r="IB13" s="204">
        <f>HD13+$IB$9</f>
        <v>506300360.13888711</v>
      </c>
      <c r="IC13" s="176"/>
      <c r="ID13" s="211"/>
      <c r="IE13" s="202">
        <f t="shared" si="7"/>
        <v>18.943411725708792</v>
      </c>
      <c r="IF13" s="204">
        <f t="shared" si="47"/>
        <v>506273146.49888712</v>
      </c>
      <c r="IG13" s="211"/>
      <c r="IH13" s="211"/>
      <c r="II13" s="202">
        <f t="shared" si="8"/>
        <v>18.946846347674288</v>
      </c>
      <c r="IJ13" s="205">
        <f t="shared" si="48"/>
        <v>506364938.66888714</v>
      </c>
      <c r="IK13" s="194">
        <f t="shared" si="49"/>
        <v>3.4346219654963761E-3</v>
      </c>
      <c r="IL13" s="211"/>
      <c r="IM13" s="211"/>
      <c r="IN13" s="202">
        <f t="shared" si="9"/>
        <v>18.954814714247934</v>
      </c>
      <c r="IO13" s="205">
        <f t="shared" si="50"/>
        <v>506577897.66888714</v>
      </c>
      <c r="IP13" s="194">
        <f t="shared" si="51"/>
        <v>7.9683665736460796E-3</v>
      </c>
      <c r="IQ13" s="211"/>
      <c r="IR13" s="211"/>
      <c r="IS13" s="211"/>
      <c r="IT13" s="211"/>
      <c r="IU13" s="202">
        <f t="shared" si="10"/>
        <v>18.958526197616848</v>
      </c>
      <c r="IV13" s="205">
        <f t="shared" si="52"/>
        <v>506677089.11288714</v>
      </c>
      <c r="IW13" s="194">
        <f t="shared" si="53"/>
        <v>18.950557831043202</v>
      </c>
      <c r="IX13" s="211"/>
      <c r="IY13" s="211"/>
      <c r="IZ13" s="211"/>
      <c r="JA13" s="211"/>
      <c r="JB13" s="207">
        <v>267.45</v>
      </c>
      <c r="JC13" s="208">
        <v>7200</v>
      </c>
      <c r="JD13" s="209">
        <v>199.2</v>
      </c>
      <c r="JE13" s="210">
        <v>1434240</v>
      </c>
      <c r="JF13" s="209">
        <f t="shared" si="11"/>
        <v>224.5882402777778</v>
      </c>
      <c r="JG13" s="210">
        <f t="shared" si="12"/>
        <v>1617035.33</v>
      </c>
      <c r="JH13" s="209">
        <f t="shared" si="13"/>
        <v>264.71476805555557</v>
      </c>
      <c r="JI13" s="210">
        <f t="shared" si="54"/>
        <v>1905946.33</v>
      </c>
      <c r="JJ13" s="209">
        <f t="shared" si="14"/>
        <v>266.29347175972225</v>
      </c>
      <c r="JK13" s="210">
        <f t="shared" si="55"/>
        <v>1917312.99667</v>
      </c>
      <c r="JL13" s="209">
        <f t="shared" si="15"/>
        <v>267.45087916666665</v>
      </c>
      <c r="JM13" s="210">
        <f t="shared" si="56"/>
        <v>1925646.33</v>
      </c>
      <c r="JN13" s="210"/>
    </row>
    <row r="14" spans="1:288" ht="51" x14ac:dyDescent="0.25">
      <c r="A14" s="191" t="s">
        <v>228</v>
      </c>
      <c r="B14" s="192" t="s">
        <v>233</v>
      </c>
      <c r="C14" s="144" t="s">
        <v>230</v>
      </c>
      <c r="D14" s="193">
        <v>31428</v>
      </c>
      <c r="E14" s="193">
        <v>3132</v>
      </c>
      <c r="F14" s="193">
        <v>3132</v>
      </c>
      <c r="G14" s="534">
        <v>31428</v>
      </c>
      <c r="H14" s="534">
        <v>31428</v>
      </c>
      <c r="I14" s="194">
        <f>341.25+41.11</f>
        <v>382.36</v>
      </c>
      <c r="J14" s="194">
        <f t="shared" si="16"/>
        <v>12016810.08</v>
      </c>
      <c r="K14" s="194">
        <v>341.25</v>
      </c>
      <c r="L14" s="194">
        <f t="shared" si="17"/>
        <v>10724805</v>
      </c>
      <c r="M14" s="194">
        <v>341.25</v>
      </c>
      <c r="N14" s="194">
        <f t="shared" si="18"/>
        <v>10724805</v>
      </c>
      <c r="O14" s="211"/>
      <c r="P14" s="211"/>
      <c r="Q14" s="211"/>
      <c r="R14" s="800">
        <v>31428</v>
      </c>
      <c r="S14" s="505">
        <v>341.25</v>
      </c>
      <c r="T14" s="507">
        <f t="shared" si="19"/>
        <v>10724805</v>
      </c>
      <c r="U14" s="211"/>
      <c r="V14" s="505">
        <f>341.25+41.11</f>
        <v>382.36</v>
      </c>
      <c r="W14" s="507">
        <f t="shared" si="57"/>
        <v>12016810.08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196">
        <v>3132</v>
      </c>
      <c r="AT14" s="505">
        <v>279.42</v>
      </c>
      <c r="AU14" s="507">
        <f t="shared" si="0"/>
        <v>875143.44000000006</v>
      </c>
      <c r="AV14" s="211"/>
      <c r="AW14" s="196">
        <v>3133</v>
      </c>
      <c r="AX14" s="654">
        <f>279.42-0.020274</f>
        <v>279.39972600000004</v>
      </c>
      <c r="AY14" s="507">
        <f t="shared" si="20"/>
        <v>875359.34155800019</v>
      </c>
      <c r="AZ14" s="211"/>
      <c r="BA14" s="196">
        <v>3134</v>
      </c>
      <c r="BB14" s="654">
        <f>279.42-0.040587</f>
        <v>279.379413</v>
      </c>
      <c r="BC14" s="507">
        <f t="shared" si="21"/>
        <v>875575.080342</v>
      </c>
      <c r="BD14" s="211"/>
      <c r="BE14" s="211"/>
      <c r="BF14" s="211"/>
      <c r="BG14" s="194">
        <f t="shared" si="22"/>
        <v>361.90257536156133</v>
      </c>
      <c r="BH14" s="204">
        <f t="shared" si="23"/>
        <v>1133478.8660324102</v>
      </c>
      <c r="BI14" s="211"/>
      <c r="BJ14" s="194">
        <f>AX14+BK10</f>
        <v>221.31735610819919</v>
      </c>
      <c r="BK14" s="204">
        <f t="shared" si="24"/>
        <v>693387.27668698807</v>
      </c>
      <c r="BL14" s="211"/>
      <c r="BM14" s="194">
        <f t="shared" si="25"/>
        <v>177.0776466835855</v>
      </c>
      <c r="BN14" s="204">
        <f t="shared" si="26"/>
        <v>554961.34470635699</v>
      </c>
      <c r="BO14" s="176"/>
      <c r="BP14" s="211"/>
      <c r="BQ14" s="211"/>
      <c r="BR14" s="194">
        <f t="shared" si="27"/>
        <v>361.90257536156133</v>
      </c>
      <c r="BS14" s="204">
        <f t="shared" si="28"/>
        <v>1133478.8660324102</v>
      </c>
      <c r="BT14" s="211"/>
      <c r="BU14" s="211"/>
      <c r="BV14" s="194">
        <f t="shared" si="58"/>
        <v>363.09834117442074</v>
      </c>
      <c r="BW14" s="204">
        <f t="shared" si="29"/>
        <v>1137224.0045582857</v>
      </c>
      <c r="BX14" s="211"/>
      <c r="BY14" s="211"/>
      <c r="BZ14" s="194">
        <f t="shared" si="30"/>
        <v>371.46959008538079</v>
      </c>
      <c r="CA14" s="204">
        <f t="shared" si="31"/>
        <v>1163442.7561474126</v>
      </c>
      <c r="CB14" s="211"/>
      <c r="CC14" s="211"/>
      <c r="CD14" s="504">
        <f>3132+27864</f>
        <v>30996</v>
      </c>
      <c r="CE14" s="506">
        <f>279.42+48.07</f>
        <v>327.49</v>
      </c>
      <c r="CF14" s="198">
        <f t="shared" si="1"/>
        <v>10150880.040000001</v>
      </c>
      <c r="CG14" s="211"/>
      <c r="CH14" s="508">
        <f>3133+27865</f>
        <v>30998</v>
      </c>
      <c r="CI14" s="657">
        <f>279.42-0.020274+9.652328</f>
        <v>289.05205400000006</v>
      </c>
      <c r="CJ14" s="198">
        <f t="shared" si="32"/>
        <v>8960035.5698920023</v>
      </c>
      <c r="CK14" s="211"/>
      <c r="CL14" s="508">
        <f>3134+27866</f>
        <v>31000</v>
      </c>
      <c r="CM14" s="657">
        <f>279.42-0.040587+9.6998728</f>
        <v>289.07928579999998</v>
      </c>
      <c r="CN14" s="198">
        <f t="shared" si="33"/>
        <v>8961457.8597999997</v>
      </c>
      <c r="CO14" s="211"/>
      <c r="CP14" s="211"/>
      <c r="CQ14" s="656">
        <f t="shared" si="34"/>
        <v>337.89916750649223</v>
      </c>
      <c r="CR14" s="198">
        <f t="shared" si="35"/>
        <v>10473522.596031234</v>
      </c>
      <c r="CS14" s="211"/>
      <c r="CT14" s="211"/>
      <c r="CU14" s="211"/>
      <c r="CV14" s="656">
        <f t="shared" si="59"/>
        <v>329.77526027360119</v>
      </c>
      <c r="CW14" s="198">
        <f t="shared" si="36"/>
        <v>10221713.967440542</v>
      </c>
      <c r="CX14" s="211"/>
      <c r="CY14" s="211"/>
      <c r="CZ14" s="196">
        <v>2916</v>
      </c>
      <c r="DA14" s="505">
        <v>266.06</v>
      </c>
      <c r="DB14" s="507">
        <f t="shared" si="2"/>
        <v>775830.96</v>
      </c>
      <c r="DC14" s="176"/>
      <c r="DD14" s="176"/>
      <c r="DE14" s="14"/>
      <c r="DF14" s="520">
        <f>(DF13-DB17)/CZ17</f>
        <v>-2.5018705575422526E-4</v>
      </c>
      <c r="DG14" s="378">
        <v>266.06</v>
      </c>
      <c r="DH14" s="380">
        <f t="shared" si="37"/>
        <v>775830.96</v>
      </c>
      <c r="DI14" s="176"/>
      <c r="DJ14" s="204">
        <v>2113170.35</v>
      </c>
      <c r="DK14" s="514" t="s">
        <v>377</v>
      </c>
      <c r="DL14" s="176">
        <f>DJ11+DJ12+DJ13+DJ14</f>
        <v>17873470.350000001</v>
      </c>
      <c r="DM14" s="176">
        <f>69.8063*64152</f>
        <v>4478213.7575999992</v>
      </c>
      <c r="DN14" s="14"/>
      <c r="DO14" s="520">
        <f>(DO13-DF13)/CZ17</f>
        <v>69.806397306397301</v>
      </c>
      <c r="DP14" s="525">
        <f>$DG$14+69.81</f>
        <v>335.87</v>
      </c>
      <c r="DQ14" s="380">
        <f t="shared" si="3"/>
        <v>979396.92</v>
      </c>
      <c r="DR14" s="204">
        <v>2113170.35</v>
      </c>
      <c r="DS14" s="514" t="s">
        <v>377</v>
      </c>
      <c r="DT14" s="176">
        <f>DR11+DR12+DR13+DR14</f>
        <v>22351690.350000001</v>
      </c>
      <c r="DU14" s="176" t="s">
        <v>383</v>
      </c>
      <c r="DV14" s="525">
        <f>$DG$14+70.74</f>
        <v>336.8</v>
      </c>
      <c r="DW14" s="380">
        <f t="shared" si="38"/>
        <v>982108.8</v>
      </c>
      <c r="DX14" s="523">
        <f>DT14+DR17</f>
        <v>22411559.420000002</v>
      </c>
      <c r="DY14" s="530" t="s">
        <v>386</v>
      </c>
      <c r="DZ14" s="188"/>
      <c r="EA14" s="14"/>
      <c r="EB14" s="520">
        <f>(EB13-DO13)/CZ17</f>
        <v>26.437828282828264</v>
      </c>
      <c r="EC14" s="525">
        <f>$DG$14+70.74+25.8</f>
        <v>362.6</v>
      </c>
      <c r="ED14" s="380">
        <f>EC14*$CZ$14</f>
        <v>1057341.6000000001</v>
      </c>
      <c r="EE14" s="204">
        <f>2113170.35+133651.56</f>
        <v>2246821.91</v>
      </c>
      <c r="EF14" s="514" t="s">
        <v>377</v>
      </c>
      <c r="EG14" s="176" t="s">
        <v>396</v>
      </c>
      <c r="EH14" s="547" t="s">
        <v>398</v>
      </c>
      <c r="EI14" s="548">
        <f>EE11+EE12+EE13+EE14</f>
        <v>24047729.91</v>
      </c>
      <c r="EJ14" s="541" t="s">
        <v>401</v>
      </c>
      <c r="EK14" s="542">
        <f>EI14-ED18</f>
        <v>23284363.260000002</v>
      </c>
      <c r="EL14" s="540"/>
      <c r="EM14" s="14"/>
      <c r="EN14" s="520">
        <f>(EN13-EB13)/$CZ$17</f>
        <v>0.87956338072084617</v>
      </c>
      <c r="EO14" s="525">
        <f>$DG$14+70.74+25.8+0.88</f>
        <v>363.48</v>
      </c>
      <c r="EP14" s="380">
        <f>EO14*$CZ$14</f>
        <v>1059907.6800000002</v>
      </c>
      <c r="EQ14" s="204">
        <f>2113170.35+133651.56</f>
        <v>2246821.91</v>
      </c>
      <c r="ER14" s="514" t="s">
        <v>377</v>
      </c>
      <c r="ES14" s="547" t="s">
        <v>398</v>
      </c>
      <c r="ET14" s="554">
        <f>EQ11+EQ12+EQ13+EQ14</f>
        <v>24104171.710000001</v>
      </c>
      <c r="EU14" s="541" t="s">
        <v>401</v>
      </c>
      <c r="EV14" s="542">
        <f>ET14-EP18</f>
        <v>23340805.060000002</v>
      </c>
      <c r="EW14" s="540"/>
      <c r="EX14" s="14"/>
      <c r="EY14" s="520">
        <f>(EY13-EB13)/$CZ$17</f>
        <v>0.87956338072084617</v>
      </c>
      <c r="EZ14" s="525">
        <f>$DG$14+70.74+25.8+0.88</f>
        <v>363.48</v>
      </c>
      <c r="FA14" s="380">
        <f>EZ14*$CZ$14</f>
        <v>1059907.6800000002</v>
      </c>
      <c r="FB14" s="204">
        <f>2113170.35+133651.56</f>
        <v>2246821.91</v>
      </c>
      <c r="FC14" s="514" t="s">
        <v>377</v>
      </c>
      <c r="FD14" s="547" t="s">
        <v>398</v>
      </c>
      <c r="FE14" s="554">
        <f>FB11+FB12+FB13+FB14</f>
        <v>24104171.710000001</v>
      </c>
      <c r="FF14" s="541" t="s">
        <v>401</v>
      </c>
      <c r="FG14" s="542">
        <f>FE14-FA18</f>
        <v>23340805.060000002</v>
      </c>
      <c r="FH14" s="540"/>
      <c r="FI14" s="540"/>
      <c r="FJ14" s="14"/>
      <c r="FK14" s="520">
        <f>(FK13-EY13)/$CZ$17</f>
        <v>75.88544176331213</v>
      </c>
      <c r="FL14" s="525">
        <f>$DG$14+70.74+25.8+0.88+75.89</f>
        <v>439.37</v>
      </c>
      <c r="FM14" s="380">
        <f>FL14*$CZ$14</f>
        <v>1281202.92</v>
      </c>
      <c r="FN14" s="569">
        <f>2113170.35+133651.56</f>
        <v>2246821.91</v>
      </c>
      <c r="FO14" s="568" t="s">
        <v>377</v>
      </c>
      <c r="FP14" s="547" t="s">
        <v>398</v>
      </c>
      <c r="FQ14" s="554">
        <f>FN11+FN12+FN13+FN14+0.06</f>
        <v>28972374.57</v>
      </c>
      <c r="FR14" s="541" t="s">
        <v>401</v>
      </c>
      <c r="FS14" s="542">
        <f>FQ14-FK12</f>
        <v>28209007.920000002</v>
      </c>
      <c r="FT14" s="568">
        <f>FS14-FG14</f>
        <v>4868202.8599999994</v>
      </c>
      <c r="FU14" s="579">
        <f>FT14/$CZ$17</f>
        <v>75.88544176331213</v>
      </c>
      <c r="FV14" s="568" t="s">
        <v>422</v>
      </c>
      <c r="FW14" s="602" t="s">
        <v>434</v>
      </c>
      <c r="FX14" s="598">
        <f>2916-1620</f>
        <v>1296</v>
      </c>
      <c r="FY14" s="505">
        <f>363.48+263.6</f>
        <v>627.08000000000004</v>
      </c>
      <c r="FZ14" s="505">
        <f t="shared" si="4"/>
        <v>812695.68</v>
      </c>
      <c r="GA14" s="331">
        <f>266.06</f>
        <v>266.06</v>
      </c>
      <c r="GB14" s="593">
        <f>266.06+113.87</f>
        <v>379.93</v>
      </c>
      <c r="GC14" s="198">
        <f t="shared" si="39"/>
        <v>492389.28</v>
      </c>
      <c r="GD14" s="176"/>
      <c r="GE14" s="176"/>
      <c r="GF14" s="176"/>
      <c r="GG14" s="176"/>
      <c r="GH14" s="473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T14" s="547" t="s">
        <v>398</v>
      </c>
      <c r="GU14" s="554">
        <f>FN11+FN12+FN13+FN14</f>
        <v>28972374.510000002</v>
      </c>
      <c r="GV14" s="541" t="s">
        <v>401</v>
      </c>
      <c r="GW14" s="542" t="e">
        <f>GU14-FM18</f>
        <v>#REF!</v>
      </c>
      <c r="GX14" s="540"/>
      <c r="GY14" s="325"/>
      <c r="GZ14" s="211"/>
      <c r="HA14" s="14"/>
      <c r="HB14" s="337" t="e">
        <f>(HB13-GV17)/GT17</f>
        <v>#REF!</v>
      </c>
      <c r="HC14" s="378">
        <f t="shared" si="40"/>
        <v>28972393.448158503</v>
      </c>
      <c r="HD14" s="379" t="e">
        <f t="shared" si="41"/>
        <v>#VALUE!</v>
      </c>
      <c r="HE14" s="176"/>
      <c r="HF14" s="14"/>
      <c r="HG14" s="337" t="e">
        <f>(HG13-HB13)/GT17</f>
        <v>#REF!</v>
      </c>
      <c r="HH14" s="378">
        <f t="shared" si="42"/>
        <v>28972395.355365403</v>
      </c>
      <c r="HI14" s="380" t="e">
        <f t="shared" si="43"/>
        <v>#VALUE!</v>
      </c>
      <c r="HJ14" s="176"/>
      <c r="HK14" s="14"/>
      <c r="HL14" s="337" t="e">
        <f>(HL13-HG13)/GT17</f>
        <v>#REF!</v>
      </c>
      <c r="HM14" s="378">
        <f t="shared" si="44"/>
        <v>28972405.028835103</v>
      </c>
      <c r="HN14" s="380" t="e">
        <f t="shared" si="45"/>
        <v>#VALUE!</v>
      </c>
      <c r="HO14" s="176"/>
      <c r="HP14" s="176"/>
      <c r="HQ14" s="176"/>
      <c r="HR14" s="199">
        <v>416.0113127853881</v>
      </c>
      <c r="HS14" s="212">
        <v>1093277.73</v>
      </c>
      <c r="HT14" s="211"/>
      <c r="HU14" s="211"/>
      <c r="HV14" s="211"/>
      <c r="HW14" s="202" t="e">
        <f t="shared" si="5"/>
        <v>#VALUE!</v>
      </c>
      <c r="HX14" s="204">
        <f t="shared" si="46"/>
        <v>1093277.73</v>
      </c>
      <c r="HY14" s="211"/>
      <c r="HZ14" s="215"/>
      <c r="IA14" s="202" t="e">
        <f t="shared" si="6"/>
        <v>#VALUE!</v>
      </c>
      <c r="IB14" s="204" t="e">
        <f t="shared" ref="IB14:IB15" si="60">HD14+$IB$9</f>
        <v>#VALUE!</v>
      </c>
      <c r="IC14" s="176"/>
      <c r="ID14" s="211"/>
      <c r="IE14" s="202" t="e">
        <f t="shared" si="7"/>
        <v>#VALUE!</v>
      </c>
      <c r="IF14" s="204" t="e">
        <f t="shared" si="47"/>
        <v>#VALUE!</v>
      </c>
      <c r="IG14" s="211"/>
      <c r="IH14" s="211"/>
      <c r="II14" s="202" t="e">
        <f t="shared" si="8"/>
        <v>#VALUE!</v>
      </c>
      <c r="IJ14" s="205" t="e">
        <f t="shared" si="48"/>
        <v>#VALUE!</v>
      </c>
      <c r="IK14" s="194" t="e">
        <f t="shared" si="49"/>
        <v>#VALUE!</v>
      </c>
      <c r="IL14" s="211"/>
      <c r="IM14" s="211"/>
      <c r="IN14" s="202" t="e">
        <f t="shared" si="9"/>
        <v>#VALUE!</v>
      </c>
      <c r="IO14" s="205" t="e">
        <f t="shared" si="50"/>
        <v>#VALUE!</v>
      </c>
      <c r="IP14" s="194" t="e">
        <f t="shared" si="51"/>
        <v>#VALUE!</v>
      </c>
      <c r="IQ14" s="211"/>
      <c r="IR14" s="211"/>
      <c r="IS14" s="211"/>
      <c r="IT14" s="211"/>
      <c r="IU14" s="202" t="e">
        <f t="shared" si="10"/>
        <v>#VALUE!</v>
      </c>
      <c r="IV14" s="205" t="e">
        <f t="shared" si="52"/>
        <v>#VALUE!</v>
      </c>
      <c r="IW14" s="194" t="e">
        <f t="shared" si="53"/>
        <v>#VALUE!</v>
      </c>
      <c r="IX14" s="211"/>
      <c r="IY14" s="211"/>
      <c r="IZ14" s="211"/>
      <c r="JA14" s="211"/>
      <c r="JB14" s="207">
        <v>238.88</v>
      </c>
      <c r="JC14" s="208">
        <v>12240</v>
      </c>
      <c r="JD14" s="209">
        <v>198.73</v>
      </c>
      <c r="JE14" s="210">
        <v>2432455.2000000002</v>
      </c>
      <c r="JF14" s="209">
        <f t="shared" si="11"/>
        <v>213.66425898692813</v>
      </c>
      <c r="JG14" s="210">
        <f t="shared" si="12"/>
        <v>2615250.5300000003</v>
      </c>
      <c r="JH14" s="209">
        <f t="shared" si="13"/>
        <v>237.26809885620918</v>
      </c>
      <c r="JI14" s="210">
        <f t="shared" si="54"/>
        <v>2904161.5300000003</v>
      </c>
      <c r="JJ14" s="209">
        <f t="shared" si="14"/>
        <v>238.19674809395428</v>
      </c>
      <c r="JK14" s="210">
        <f t="shared" si="55"/>
        <v>2915528.1966700004</v>
      </c>
      <c r="JL14" s="209">
        <f t="shared" si="15"/>
        <v>238.87757598039218</v>
      </c>
      <c r="JM14" s="210">
        <f t="shared" si="56"/>
        <v>2923861.5300000003</v>
      </c>
      <c r="JN14" s="210"/>
    </row>
    <row r="15" spans="1:288" ht="60" x14ac:dyDescent="0.25">
      <c r="A15" s="191" t="s">
        <v>228</v>
      </c>
      <c r="B15" s="192" t="s">
        <v>234</v>
      </c>
      <c r="C15" s="144" t="s">
        <v>230</v>
      </c>
      <c r="D15" s="193">
        <v>47880</v>
      </c>
      <c r="E15" s="193">
        <v>23040</v>
      </c>
      <c r="F15" s="193">
        <v>23040</v>
      </c>
      <c r="G15" s="534">
        <v>47880</v>
      </c>
      <c r="H15" s="534">
        <v>47880</v>
      </c>
      <c r="I15" s="194">
        <f>341.3+41.1</f>
        <v>382.40000000000003</v>
      </c>
      <c r="J15" s="194">
        <f t="shared" si="16"/>
        <v>18309312</v>
      </c>
      <c r="K15" s="194">
        <v>341.3</v>
      </c>
      <c r="L15" s="194">
        <f t="shared" si="17"/>
        <v>16341444</v>
      </c>
      <c r="M15" s="194">
        <v>341.3</v>
      </c>
      <c r="N15" s="194">
        <f t="shared" si="18"/>
        <v>16341444</v>
      </c>
      <c r="O15" s="211"/>
      <c r="P15" s="211"/>
      <c r="Q15" s="211"/>
      <c r="R15" s="800">
        <v>47880</v>
      </c>
      <c r="S15" s="505">
        <v>341.3</v>
      </c>
      <c r="T15" s="507">
        <f t="shared" si="19"/>
        <v>16341444</v>
      </c>
      <c r="U15" s="211"/>
      <c r="V15" s="505">
        <f>341.3+41.1</f>
        <v>382.40000000000003</v>
      </c>
      <c r="W15" s="507">
        <f t="shared" si="57"/>
        <v>18309312</v>
      </c>
      <c r="X15" s="211"/>
      <c r="Y15" s="211"/>
      <c r="Z15" s="211"/>
      <c r="AA15" s="211"/>
      <c r="AB15" s="211"/>
      <c r="AC15" s="211"/>
      <c r="AD15" s="211"/>
      <c r="AE15" s="211"/>
      <c r="AF15" s="798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196">
        <v>23040</v>
      </c>
      <c r="AT15" s="505">
        <v>279.43</v>
      </c>
      <c r="AU15" s="507">
        <f t="shared" si="0"/>
        <v>6438067.2000000002</v>
      </c>
      <c r="AV15" s="211"/>
      <c r="AW15" s="196">
        <v>23041</v>
      </c>
      <c r="AX15" s="584">
        <f>279.43-0.02</f>
        <v>279.41000000000003</v>
      </c>
      <c r="AY15" s="507">
        <f t="shared" si="20"/>
        <v>6437885.8100000005</v>
      </c>
      <c r="AZ15" s="211"/>
      <c r="BA15" s="196">
        <v>23042</v>
      </c>
      <c r="BB15" s="584">
        <f>279.43-0.04</f>
        <v>279.39</v>
      </c>
      <c r="BC15" s="507">
        <f t="shared" si="21"/>
        <v>6437704.3799999999</v>
      </c>
      <c r="BD15" s="211"/>
      <c r="BE15" s="211"/>
      <c r="BF15" s="211"/>
      <c r="BG15" s="194">
        <f t="shared" si="22"/>
        <v>361.91257536156132</v>
      </c>
      <c r="BH15" s="204">
        <f t="shared" si="23"/>
        <v>8338465.7363303732</v>
      </c>
      <c r="BI15" s="211"/>
      <c r="BJ15" s="194">
        <f>AX15+BK10</f>
        <v>221.32763010819917</v>
      </c>
      <c r="BK15" s="204">
        <f t="shared" si="24"/>
        <v>5099609.9253230169</v>
      </c>
      <c r="BL15" s="211"/>
      <c r="BM15" s="194">
        <f t="shared" si="25"/>
        <v>177.08823368358549</v>
      </c>
      <c r="BN15" s="204">
        <f t="shared" si="26"/>
        <v>4080467.0805371767</v>
      </c>
      <c r="BO15" s="176"/>
      <c r="BP15" s="211"/>
      <c r="BQ15" s="211"/>
      <c r="BR15" s="194">
        <f t="shared" si="27"/>
        <v>361.91257536156132</v>
      </c>
      <c r="BS15" s="204">
        <f t="shared" si="28"/>
        <v>8338465.7363303732</v>
      </c>
      <c r="BT15" s="211"/>
      <c r="BU15" s="211"/>
      <c r="BV15" s="194">
        <f t="shared" si="58"/>
        <v>363.10834117442073</v>
      </c>
      <c r="BW15" s="204">
        <f t="shared" si="29"/>
        <v>8366016.1806586534</v>
      </c>
      <c r="BX15" s="211"/>
      <c r="BY15" s="211"/>
      <c r="BZ15" s="194">
        <f t="shared" si="30"/>
        <v>371.47959008538078</v>
      </c>
      <c r="CA15" s="204">
        <f t="shared" si="31"/>
        <v>8558889.7555671725</v>
      </c>
      <c r="CB15" s="211"/>
      <c r="CC15" s="211"/>
      <c r="CD15" s="504">
        <f>20800+25596</f>
        <v>46396</v>
      </c>
      <c r="CE15" s="506">
        <f>279.43+48.07</f>
        <v>327.5</v>
      </c>
      <c r="CF15" s="198">
        <f t="shared" si="1"/>
        <v>15194690</v>
      </c>
      <c r="CG15" s="211"/>
      <c r="CH15" s="508">
        <f>20800+25596</f>
        <v>46396</v>
      </c>
      <c r="CI15" s="656">
        <f>279.43-0.02+9.65</f>
        <v>289.06</v>
      </c>
      <c r="CJ15" s="198">
        <f t="shared" si="32"/>
        <v>13411227.76</v>
      </c>
      <c r="CK15" s="211"/>
      <c r="CL15" s="508">
        <f>20800+25596</f>
        <v>46396</v>
      </c>
      <c r="CM15" s="656">
        <f>279.43-0.04+9.65</f>
        <v>289.03999999999996</v>
      </c>
      <c r="CN15" s="198">
        <f t="shared" si="33"/>
        <v>13410299.839999998</v>
      </c>
      <c r="CO15" s="211"/>
      <c r="CP15" s="211"/>
      <c r="CQ15" s="656">
        <f t="shared" si="34"/>
        <v>337.90916750649222</v>
      </c>
      <c r="CR15" s="198">
        <f t="shared" si="35"/>
        <v>15677633.735631213</v>
      </c>
      <c r="CS15" s="211"/>
      <c r="CT15" s="211"/>
      <c r="CU15" s="211"/>
      <c r="CV15" s="656">
        <f t="shared" si="59"/>
        <v>329.78526027360118</v>
      </c>
      <c r="CW15" s="198">
        <f t="shared" si="36"/>
        <v>15300716.935654001</v>
      </c>
      <c r="CX15" s="211"/>
      <c r="CY15" s="211"/>
      <c r="CZ15" s="196">
        <v>20196</v>
      </c>
      <c r="DA15" s="505">
        <v>266.95</v>
      </c>
      <c r="DB15" s="507">
        <f t="shared" si="2"/>
        <v>5391322.2000000002</v>
      </c>
      <c r="DC15" s="176"/>
      <c r="DD15" s="176"/>
      <c r="DE15" s="332" t="s">
        <v>374</v>
      </c>
      <c r="DF15" s="333">
        <f>DJ15+DJ16</f>
        <v>27957415.149999999</v>
      </c>
      <c r="DG15" s="378">
        <v>266.95</v>
      </c>
      <c r="DH15" s="380">
        <f t="shared" si="37"/>
        <v>5391322.2000000002</v>
      </c>
      <c r="DI15" s="176"/>
      <c r="DJ15" s="198">
        <v>24652200</v>
      </c>
      <c r="DK15" s="515" t="s">
        <v>376</v>
      </c>
      <c r="DL15" s="176"/>
      <c r="DM15" s="176"/>
      <c r="DN15" s="332" t="s">
        <v>286</v>
      </c>
      <c r="DO15" s="333">
        <f>DR15+DR16+DR17</f>
        <v>28017284.219999999</v>
      </c>
      <c r="DP15" s="525">
        <f>$DG$15+69.81</f>
        <v>336.76</v>
      </c>
      <c r="DQ15" s="380">
        <f t="shared" si="3"/>
        <v>6801204.96</v>
      </c>
      <c r="DR15" s="198">
        <v>24652200</v>
      </c>
      <c r="DS15" s="198" t="s">
        <v>376</v>
      </c>
      <c r="DT15" s="176"/>
      <c r="DU15" s="176"/>
      <c r="DV15" s="525">
        <f>$DG$15+70.74</f>
        <v>337.69</v>
      </c>
      <c r="DW15" s="380">
        <f t="shared" si="38"/>
        <v>6819987.2400000002</v>
      </c>
      <c r="DX15" s="529">
        <f>DX14-DO12</f>
        <v>21648208.82</v>
      </c>
      <c r="DY15" s="528" t="s">
        <v>387</v>
      </c>
      <c r="DZ15" s="188"/>
      <c r="EA15" s="332" t="s">
        <v>286</v>
      </c>
      <c r="EB15" s="333">
        <f>EE15+EE16+EE17</f>
        <v>28392284.219999999</v>
      </c>
      <c r="EC15" s="525">
        <f>$DG$15+70.74+25.8</f>
        <v>363.49</v>
      </c>
      <c r="ED15" s="380">
        <f>EC15*$CZ$15</f>
        <v>7341044.04</v>
      </c>
      <c r="EE15" s="198">
        <v>24652200</v>
      </c>
      <c r="EF15" s="198" t="s">
        <v>376</v>
      </c>
      <c r="EH15" s="545" t="s">
        <v>399</v>
      </c>
      <c r="EI15" s="546">
        <f>EE15+EE16+EE17</f>
        <v>28392284.219999999</v>
      </c>
      <c r="EJ15" s="188"/>
      <c r="EK15" s="522"/>
      <c r="EL15" s="522"/>
      <c r="EM15" s="332" t="s">
        <v>286</v>
      </c>
      <c r="EN15" s="333">
        <f>EQ15+EQ16+EQ17</f>
        <v>28392284.219999999</v>
      </c>
      <c r="EO15" s="525">
        <f>$DG$15+70.74+25.8+0.88</f>
        <v>364.37</v>
      </c>
      <c r="EP15" s="380">
        <f>EO15*$CZ$15</f>
        <v>7358816.5200000005</v>
      </c>
      <c r="EQ15" s="198">
        <v>24652200</v>
      </c>
      <c r="ER15" s="198" t="s">
        <v>376</v>
      </c>
      <c r="ES15" s="545" t="s">
        <v>399</v>
      </c>
      <c r="ET15" s="556">
        <f>EQ15+EQ16+EQ17</f>
        <v>28392284.219999999</v>
      </c>
      <c r="EU15" s="188"/>
      <c r="EV15" s="188"/>
      <c r="EW15" s="188"/>
      <c r="EX15" s="332" t="s">
        <v>415</v>
      </c>
      <c r="EY15" s="333">
        <f>FB15+FB16+FB17</f>
        <v>28826552.359999999</v>
      </c>
      <c r="EZ15" s="525">
        <f>$DG$15+70.74+25.8+0.88</f>
        <v>364.37</v>
      </c>
      <c r="FA15" s="380">
        <f>EZ15*$CZ$15</f>
        <v>7358816.5200000005</v>
      </c>
      <c r="FB15" s="198">
        <f>24652200+434268.14</f>
        <v>25086468.140000001</v>
      </c>
      <c r="FC15" s="198" t="s">
        <v>376</v>
      </c>
      <c r="FD15" s="545" t="s">
        <v>399</v>
      </c>
      <c r="FE15" s="556">
        <f>FB15+FB16+FB17</f>
        <v>28826552.359999999</v>
      </c>
      <c r="FF15" s="198">
        <f>FE15-ET15</f>
        <v>434268.1400000006</v>
      </c>
      <c r="FG15" s="561" t="e">
        <f>FF15/#REF!</f>
        <v>#REF!</v>
      </c>
      <c r="FH15" s="515" t="s">
        <v>414</v>
      </c>
      <c r="FI15" s="188"/>
      <c r="FJ15" s="564" t="s">
        <v>415</v>
      </c>
      <c r="FK15" s="565" t="e">
        <f>FN15+FN16+FN17+#REF!</f>
        <v>#REF!</v>
      </c>
      <c r="FL15" s="525">
        <f>$DG$15+70.74+25.8+0.88+75.88</f>
        <v>440.25</v>
      </c>
      <c r="FM15" s="380">
        <f>FL15*$CZ$15</f>
        <v>8891289</v>
      </c>
      <c r="FN15" s="566">
        <f>24652200+434268.14-1572179</f>
        <v>23514289.140000001</v>
      </c>
      <c r="FO15" s="566" t="s">
        <v>376</v>
      </c>
      <c r="FP15" s="572" t="s">
        <v>399</v>
      </c>
      <c r="FQ15" s="573" t="e">
        <f>FN15+FN16+FN17+#REF!</f>
        <v>#REF!</v>
      </c>
      <c r="FR15" s="566" t="e">
        <f>FQ15-FE15</f>
        <v>#REF!</v>
      </c>
      <c r="FS15" s="576" t="e">
        <f>FR15/#REF!</f>
        <v>#REF!</v>
      </c>
      <c r="FT15" s="578" t="s">
        <v>421</v>
      </c>
      <c r="FU15" s="176"/>
      <c r="FV15" s="176" t="s">
        <v>423</v>
      </c>
      <c r="FW15" s="601" t="s">
        <v>435</v>
      </c>
      <c r="FX15" s="598">
        <f>20196-1836</f>
        <v>18360</v>
      </c>
      <c r="FY15" s="583">
        <f>364.37+263.606161</f>
        <v>627.97616100000005</v>
      </c>
      <c r="FZ15" s="505">
        <f t="shared" si="4"/>
        <v>11529642.315960001</v>
      </c>
      <c r="GA15" s="331">
        <f>266.95</f>
        <v>266.95</v>
      </c>
      <c r="GB15" s="593">
        <f>266.95+113.87</f>
        <v>380.82</v>
      </c>
      <c r="GC15" s="198">
        <f t="shared" si="39"/>
        <v>6991855.2000000002</v>
      </c>
      <c r="GD15" s="176"/>
      <c r="GE15" s="473"/>
      <c r="GF15" s="176"/>
      <c r="GG15" s="176"/>
      <c r="GH15" s="472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T15" s="545" t="s">
        <v>399</v>
      </c>
      <c r="GU15" s="556">
        <f>FN15+FN16+FN17</f>
        <v>27254373.359999999</v>
      </c>
      <c r="GV15" s="198">
        <f>GU15-FF15</f>
        <v>26820105.219999999</v>
      </c>
      <c r="GW15" s="561" t="e">
        <f>GV15/#REF!</f>
        <v>#REF!</v>
      </c>
      <c r="GX15" s="515" t="s">
        <v>414</v>
      </c>
      <c r="GY15" s="325"/>
      <c r="GZ15" s="211"/>
      <c r="HA15" s="332" t="s">
        <v>286</v>
      </c>
      <c r="HB15" s="333">
        <v>10745500</v>
      </c>
      <c r="HC15" s="378">
        <f t="shared" si="40"/>
        <v>27254392.2981585</v>
      </c>
      <c r="HD15" s="379" t="e">
        <f t="shared" si="41"/>
        <v>#VALUE!</v>
      </c>
      <c r="HE15" s="176"/>
      <c r="HF15" s="332" t="s">
        <v>286</v>
      </c>
      <c r="HG15" s="333">
        <v>10745500</v>
      </c>
      <c r="HH15" s="378">
        <f t="shared" si="42"/>
        <v>27254394.205365401</v>
      </c>
      <c r="HI15" s="380" t="e">
        <f t="shared" si="43"/>
        <v>#VALUE!</v>
      </c>
      <c r="HJ15" s="176"/>
      <c r="HK15" s="332" t="s">
        <v>286</v>
      </c>
      <c r="HL15" s="333">
        <v>10745500</v>
      </c>
      <c r="HM15" s="378">
        <f t="shared" si="44"/>
        <v>27254403.878835101</v>
      </c>
      <c r="HN15" s="380" t="e">
        <f t="shared" si="45"/>
        <v>#VALUE!</v>
      </c>
      <c r="HO15" s="176"/>
      <c r="HP15" s="176"/>
      <c r="HQ15" s="176"/>
      <c r="HR15" s="199">
        <v>505.41846575750634</v>
      </c>
      <c r="HS15" s="212">
        <v>9534213.9380495995</v>
      </c>
      <c r="HT15" s="211"/>
      <c r="HU15" s="211"/>
      <c r="HV15" s="211"/>
      <c r="HW15" s="202" t="e">
        <f t="shared" si="5"/>
        <v>#VALUE!</v>
      </c>
      <c r="HX15" s="204">
        <f t="shared" si="46"/>
        <v>9534213.9380495995</v>
      </c>
      <c r="HY15" s="211"/>
      <c r="HZ15" s="215"/>
      <c r="IA15" s="202" t="e">
        <f t="shared" si="6"/>
        <v>#VALUE!</v>
      </c>
      <c r="IB15" s="204" t="e">
        <f t="shared" si="60"/>
        <v>#VALUE!</v>
      </c>
      <c r="IC15" s="176"/>
      <c r="ID15" s="211"/>
      <c r="IE15" s="202" t="e">
        <f t="shared" si="7"/>
        <v>#VALUE!</v>
      </c>
      <c r="IF15" s="204" t="e">
        <f t="shared" si="47"/>
        <v>#VALUE!</v>
      </c>
      <c r="IG15" s="211"/>
      <c r="IH15" s="211"/>
      <c r="II15" s="202" t="e">
        <f t="shared" si="8"/>
        <v>#VALUE!</v>
      </c>
      <c r="IJ15" s="205" t="e">
        <f t="shared" si="48"/>
        <v>#VALUE!</v>
      </c>
      <c r="IK15" s="194" t="e">
        <f t="shared" si="49"/>
        <v>#VALUE!</v>
      </c>
      <c r="IL15" s="211"/>
      <c r="IM15" s="211"/>
      <c r="IN15" s="202" t="e">
        <f t="shared" si="9"/>
        <v>#VALUE!</v>
      </c>
      <c r="IO15" s="205" t="e">
        <f t="shared" si="50"/>
        <v>#VALUE!</v>
      </c>
      <c r="IP15" s="194" t="e">
        <f t="shared" si="51"/>
        <v>#VALUE!</v>
      </c>
      <c r="IQ15" s="211"/>
      <c r="IR15" s="211"/>
      <c r="IS15" s="211"/>
      <c r="IT15" s="211"/>
      <c r="IU15" s="202" t="e">
        <f t="shared" si="10"/>
        <v>#VALUE!</v>
      </c>
      <c r="IV15" s="205" t="e">
        <f t="shared" si="52"/>
        <v>#VALUE!</v>
      </c>
      <c r="IW15" s="194" t="e">
        <f t="shared" si="53"/>
        <v>#VALUE!</v>
      </c>
      <c r="IX15" s="211"/>
      <c r="IY15" s="211"/>
      <c r="IZ15" s="211"/>
      <c r="JA15" s="211"/>
      <c r="JB15" s="207">
        <v>212.43</v>
      </c>
      <c r="JC15" s="208">
        <v>38916</v>
      </c>
      <c r="JD15" s="209">
        <v>199.8</v>
      </c>
      <c r="JE15" s="210">
        <v>7775416.7999999998</v>
      </c>
      <c r="JF15" s="209">
        <f t="shared" si="11"/>
        <v>204.49717673964435</v>
      </c>
      <c r="JG15" s="210">
        <f t="shared" si="12"/>
        <v>7958212.1299999999</v>
      </c>
      <c r="JH15" s="209">
        <f t="shared" si="13"/>
        <v>211.92114117586596</v>
      </c>
      <c r="JI15" s="210">
        <f t="shared" si="54"/>
        <v>8247123.1299999999</v>
      </c>
      <c r="JJ15" s="209">
        <f t="shared" si="14"/>
        <v>212.21322326729367</v>
      </c>
      <c r="JK15" s="210">
        <f t="shared" si="55"/>
        <v>8258489.7966700001</v>
      </c>
      <c r="JL15" s="209">
        <f t="shared" si="15"/>
        <v>212.42735969781066</v>
      </c>
      <c r="JM15" s="210">
        <f t="shared" si="56"/>
        <v>8266823.1299999999</v>
      </c>
      <c r="JN15" s="210"/>
      <c r="JR15" s="180" t="s">
        <v>235</v>
      </c>
      <c r="JU15" s="180" t="s">
        <v>235</v>
      </c>
    </row>
    <row r="16" spans="1:288" ht="72" x14ac:dyDescent="0.25">
      <c r="A16" s="192" t="s">
        <v>228</v>
      </c>
      <c r="B16" s="192" t="s">
        <v>236</v>
      </c>
      <c r="C16" s="144" t="s">
        <v>230</v>
      </c>
      <c r="D16" s="193">
        <v>20844</v>
      </c>
      <c r="E16" s="193">
        <v>10980</v>
      </c>
      <c r="F16" s="193">
        <v>10980</v>
      </c>
      <c r="G16" s="534">
        <v>20844</v>
      </c>
      <c r="H16" s="534">
        <v>20844</v>
      </c>
      <c r="I16" s="194">
        <f>341.2+41.1</f>
        <v>382.3</v>
      </c>
      <c r="J16" s="194">
        <f t="shared" si="16"/>
        <v>7968661.2000000002</v>
      </c>
      <c r="K16" s="194">
        <v>341.2</v>
      </c>
      <c r="L16" s="194">
        <f t="shared" si="17"/>
        <v>7111972.7999999998</v>
      </c>
      <c r="M16" s="194">
        <v>341.2</v>
      </c>
      <c r="N16" s="194">
        <f t="shared" si="18"/>
        <v>7111972.7999999998</v>
      </c>
      <c r="O16" s="211"/>
      <c r="P16" s="211"/>
      <c r="Q16" s="211"/>
      <c r="R16" s="800">
        <v>20844</v>
      </c>
      <c r="S16" s="505">
        <v>341.2</v>
      </c>
      <c r="T16" s="507">
        <f t="shared" si="19"/>
        <v>7111972.7999999998</v>
      </c>
      <c r="U16" s="211"/>
      <c r="V16" s="505">
        <f>341.2+41.1</f>
        <v>382.3</v>
      </c>
      <c r="W16" s="507">
        <f t="shared" si="57"/>
        <v>7968661.2000000002</v>
      </c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196">
        <v>10980</v>
      </c>
      <c r="AT16" s="505">
        <v>279.39999999999998</v>
      </c>
      <c r="AU16" s="507">
        <f t="shared" si="0"/>
        <v>3067811.9999999995</v>
      </c>
      <c r="AV16" s="211"/>
      <c r="AW16" s="196">
        <v>10981</v>
      </c>
      <c r="AX16" s="584">
        <f>279.4-0.02</f>
        <v>279.38</v>
      </c>
      <c r="AY16" s="507">
        <f t="shared" si="20"/>
        <v>3067871.78</v>
      </c>
      <c r="AZ16" s="211"/>
      <c r="BA16" s="659">
        <v>10982</v>
      </c>
      <c r="BB16" s="660">
        <f>279.4-0.05</f>
        <v>279.34999999999997</v>
      </c>
      <c r="BC16" s="507">
        <f t="shared" si="21"/>
        <v>3067821.6999999997</v>
      </c>
      <c r="BD16" s="211"/>
      <c r="BE16" s="211"/>
      <c r="BF16" s="211"/>
      <c r="BG16" s="194">
        <f t="shared" si="22"/>
        <v>361.88257536156129</v>
      </c>
      <c r="BH16" s="204">
        <f t="shared" si="23"/>
        <v>3973470.6774699432</v>
      </c>
      <c r="BI16" s="211"/>
      <c r="BJ16" s="194">
        <f>AX16+BK10</f>
        <v>221.29763010819914</v>
      </c>
      <c r="BK16" s="204">
        <f t="shared" si="24"/>
        <v>2430069.2762181349</v>
      </c>
      <c r="BL16" s="211"/>
      <c r="BM16" s="194">
        <f t="shared" si="25"/>
        <v>177.04823368358547</v>
      </c>
      <c r="BN16" s="204">
        <f t="shared" si="26"/>
        <v>1944343.7023131356</v>
      </c>
      <c r="BO16" s="176"/>
      <c r="BP16" s="211"/>
      <c r="BQ16" s="211"/>
      <c r="BR16" s="194">
        <f t="shared" si="27"/>
        <v>361.88257536156129</v>
      </c>
      <c r="BS16" s="204">
        <f t="shared" si="28"/>
        <v>3973470.6774699432</v>
      </c>
      <c r="BT16" s="211"/>
      <c r="BU16" s="211"/>
      <c r="BV16" s="194">
        <f t="shared" si="58"/>
        <v>363.0783411744207</v>
      </c>
      <c r="BW16" s="204">
        <f t="shared" si="29"/>
        <v>3986600.1860951395</v>
      </c>
      <c r="BX16" s="211"/>
      <c r="BY16" s="211"/>
      <c r="BZ16" s="194">
        <f t="shared" si="30"/>
        <v>371.44959008538075</v>
      </c>
      <c r="CA16" s="204">
        <f t="shared" si="31"/>
        <v>4078516.4991374807</v>
      </c>
      <c r="CB16" s="211"/>
      <c r="CC16" s="211"/>
      <c r="CD16" s="504">
        <f>10116+11232</f>
        <v>21348</v>
      </c>
      <c r="CE16" s="506">
        <f>279.4+48.07+0.077442</f>
        <v>327.54744199999999</v>
      </c>
      <c r="CF16" s="198">
        <f t="shared" si="1"/>
        <v>6992482.7918159999</v>
      </c>
      <c r="CG16" s="211"/>
      <c r="CH16" s="721">
        <f>10981+10403</f>
        <v>21384</v>
      </c>
      <c r="CI16" s="656">
        <f>279.4-0.02+9.65</f>
        <v>289.02999999999997</v>
      </c>
      <c r="CJ16" s="198">
        <f t="shared" si="32"/>
        <v>6180617.5199999996</v>
      </c>
      <c r="CK16" s="211"/>
      <c r="CL16" s="722">
        <f>10982+10402</f>
        <v>21384</v>
      </c>
      <c r="CM16" s="723">
        <f>279.4-0.05+9.65</f>
        <v>288.99999999999994</v>
      </c>
      <c r="CN16" s="198">
        <f t="shared" si="33"/>
        <v>6179975.9999999991</v>
      </c>
      <c r="CO16" s="211"/>
      <c r="CP16" s="211"/>
      <c r="CQ16" s="656">
        <f t="shared" si="34"/>
        <v>337.95660950649221</v>
      </c>
      <c r="CR16" s="198">
        <f t="shared" si="35"/>
        <v>7214697.6997445961</v>
      </c>
      <c r="CS16" s="211"/>
      <c r="CT16" s="211"/>
      <c r="CU16" s="211"/>
      <c r="CV16" s="656">
        <f t="shared" si="59"/>
        <v>329.83270227360117</v>
      </c>
      <c r="CW16" s="198">
        <f t="shared" si="36"/>
        <v>7041268.5281368382</v>
      </c>
      <c r="CX16" s="211"/>
      <c r="CY16" s="211"/>
      <c r="CZ16" s="196">
        <v>11772</v>
      </c>
      <c r="DA16" s="505">
        <v>266.25</v>
      </c>
      <c r="DB16" s="507">
        <f t="shared" si="2"/>
        <v>3134295</v>
      </c>
      <c r="DC16" s="176"/>
      <c r="DD16" s="176"/>
      <c r="DE16" s="329" t="s">
        <v>250</v>
      </c>
      <c r="DF16" s="330">
        <f>DF11+DF15</f>
        <v>45830885.5</v>
      </c>
      <c r="DG16" s="378">
        <v>266.25</v>
      </c>
      <c r="DH16" s="380">
        <f t="shared" si="37"/>
        <v>3134295</v>
      </c>
      <c r="DI16" s="176"/>
      <c r="DJ16" s="198">
        <v>3305215.15</v>
      </c>
      <c r="DK16" s="515" t="s">
        <v>378</v>
      </c>
      <c r="DL16" s="176"/>
      <c r="DM16" s="176"/>
      <c r="DN16" s="329" t="s">
        <v>250</v>
      </c>
      <c r="DO16" s="330">
        <f>DO11+DO15</f>
        <v>50368974.57</v>
      </c>
      <c r="DP16" s="525">
        <f>$DG$16+69.81</f>
        <v>336.06</v>
      </c>
      <c r="DQ16" s="380">
        <f t="shared" si="3"/>
        <v>3956098.32</v>
      </c>
      <c r="DR16" s="198">
        <v>3305215.15</v>
      </c>
      <c r="DS16" s="515" t="s">
        <v>378</v>
      </c>
      <c r="DT16" s="176"/>
      <c r="DU16" s="176"/>
      <c r="DV16" s="525">
        <f>$DG$16+70.74</f>
        <v>336.99</v>
      </c>
      <c r="DW16" s="380">
        <f t="shared" si="38"/>
        <v>3967046.2800000003</v>
      </c>
      <c r="DX16" s="176"/>
      <c r="DY16" s="211"/>
      <c r="DZ16" s="211"/>
      <c r="EA16" s="329" t="s">
        <v>250</v>
      </c>
      <c r="EB16" s="330">
        <f>EB11+EB15</f>
        <v>52440014.129999995</v>
      </c>
      <c r="EC16" s="525">
        <f>$DG$16+70.74+25.8</f>
        <v>362.79</v>
      </c>
      <c r="ED16" s="380">
        <f>EC16*$CZ$16</f>
        <v>4270763.88</v>
      </c>
      <c r="EE16" s="198">
        <f>3305215.15+375000</f>
        <v>3680215.15</v>
      </c>
      <c r="EF16" s="515" t="s">
        <v>378</v>
      </c>
      <c r="EG16" s="523" t="s">
        <v>397</v>
      </c>
      <c r="EH16" s="549" t="s">
        <v>400</v>
      </c>
      <c r="EI16" s="550">
        <f>EI15+EI14</f>
        <v>52440014.129999995</v>
      </c>
      <c r="EJ16" s="188"/>
      <c r="EK16" s="544"/>
      <c r="EL16" s="544"/>
      <c r="EM16" s="329" t="s">
        <v>250</v>
      </c>
      <c r="EN16" s="330">
        <f>EN11+EN15</f>
        <v>52496455.93</v>
      </c>
      <c r="EO16" s="525">
        <f>$DG$16+70.74+25.8+0.88</f>
        <v>363.67</v>
      </c>
      <c r="EP16" s="380">
        <f>EO16*$CZ$16</f>
        <v>4281123.24</v>
      </c>
      <c r="EQ16" s="198">
        <f>3305215.15+375000</f>
        <v>3680215.15</v>
      </c>
      <c r="ER16" s="515" t="s">
        <v>378</v>
      </c>
      <c r="ES16" s="549" t="s">
        <v>400</v>
      </c>
      <c r="ET16" s="555">
        <f>ET15+ET14</f>
        <v>52496455.93</v>
      </c>
      <c r="EU16" s="188"/>
      <c r="EV16" s="557" t="s">
        <v>406</v>
      </c>
      <c r="EW16" s="557"/>
      <c r="EX16" s="329" t="s">
        <v>250</v>
      </c>
      <c r="EY16" s="330">
        <f>EY11+EY15</f>
        <v>52930724.07</v>
      </c>
      <c r="EZ16" s="525">
        <f>$DG$16+70.74+25.8+0.88</f>
        <v>363.67</v>
      </c>
      <c r="FA16" s="380">
        <f>EZ16*$CZ$16</f>
        <v>4281123.24</v>
      </c>
      <c r="FB16" s="198">
        <f>3305215.15+375000</f>
        <v>3680215.15</v>
      </c>
      <c r="FC16" s="515" t="s">
        <v>378</v>
      </c>
      <c r="FD16" s="549" t="s">
        <v>400</v>
      </c>
      <c r="FE16" s="555">
        <f>FE15+FE14</f>
        <v>52930724.07</v>
      </c>
      <c r="FF16" s="188"/>
      <c r="FG16" s="557" t="s">
        <v>406</v>
      </c>
      <c r="FH16" s="557"/>
      <c r="FI16" s="557"/>
      <c r="FJ16" s="570" t="s">
        <v>250</v>
      </c>
      <c r="FK16" s="571" t="e">
        <f>FK11+FK15</f>
        <v>#REF!</v>
      </c>
      <c r="FL16" s="525">
        <f>$DG$16+70.74+25.8+0.88+75.88</f>
        <v>439.55</v>
      </c>
      <c r="FM16" s="380">
        <f>FL16*$CZ$16</f>
        <v>5174382.6000000006</v>
      </c>
      <c r="FN16" s="566">
        <f>3305215.15+375000</f>
        <v>3680215.15</v>
      </c>
      <c r="FO16" s="567" t="s">
        <v>378</v>
      </c>
      <c r="FP16" s="574" t="s">
        <v>400</v>
      </c>
      <c r="FQ16" s="575" t="e">
        <f>FQ15+FQ14</f>
        <v>#REF!</v>
      </c>
      <c r="FR16" s="188"/>
      <c r="FS16" s="188"/>
      <c r="FT16" s="188"/>
      <c r="FU16" s="188"/>
      <c r="FV16" s="188"/>
      <c r="FW16" s="601" t="s">
        <v>436</v>
      </c>
      <c r="FX16" s="598">
        <f>11772-1944</f>
        <v>9828</v>
      </c>
      <c r="FY16" s="505">
        <f>363.67+263.61</f>
        <v>627.28</v>
      </c>
      <c r="FZ16" s="505">
        <f t="shared" si="4"/>
        <v>6164907.8399999999</v>
      </c>
      <c r="GA16" s="331">
        <f>266.25</f>
        <v>266.25</v>
      </c>
      <c r="GB16" s="593">
        <f>266.25+113.86</f>
        <v>380.11</v>
      </c>
      <c r="GC16" s="198">
        <f t="shared" si="39"/>
        <v>3735721.08</v>
      </c>
      <c r="GD16" s="215"/>
      <c r="GE16" s="176"/>
      <c r="GF16" s="176"/>
      <c r="GG16" s="176"/>
      <c r="GH16" s="645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T16" s="549" t="s">
        <v>400</v>
      </c>
      <c r="GU16" s="555">
        <f>GU15+GU14</f>
        <v>56226747.870000005</v>
      </c>
      <c r="GV16" s="188"/>
      <c r="GW16" s="557" t="s">
        <v>406</v>
      </c>
      <c r="GX16" s="557"/>
      <c r="GY16" s="325"/>
      <c r="GZ16" s="211"/>
      <c r="HA16" s="329" t="s">
        <v>119</v>
      </c>
      <c r="HB16" s="330">
        <f>HB11+HB15</f>
        <v>43571169</v>
      </c>
      <c r="HC16" s="378">
        <f t="shared" si="40"/>
        <v>56226766.808158502</v>
      </c>
      <c r="HD16" s="379" t="e">
        <f t="shared" si="41"/>
        <v>#VALUE!</v>
      </c>
      <c r="HE16" s="176"/>
      <c r="HF16" s="329" t="s">
        <v>119</v>
      </c>
      <c r="HG16" s="330">
        <f>HG11+HG15</f>
        <v>43689194.590000004</v>
      </c>
      <c r="HH16" s="378">
        <f t="shared" si="42"/>
        <v>56226768.715365402</v>
      </c>
      <c r="HI16" s="380" t="e">
        <f t="shared" si="43"/>
        <v>#VALUE!</v>
      </c>
      <c r="HJ16" s="176"/>
      <c r="HK16" s="329" t="s">
        <v>119</v>
      </c>
      <c r="HL16" s="330">
        <f>HL11+HL15</f>
        <v>44287827.590000004</v>
      </c>
      <c r="HM16" s="378">
        <f t="shared" si="44"/>
        <v>56226778.388835102</v>
      </c>
      <c r="HN16" s="380" t="e">
        <f t="shared" si="45"/>
        <v>#VALUE!</v>
      </c>
      <c r="HO16" s="176"/>
      <c r="HP16" s="176"/>
      <c r="HQ16" s="176"/>
      <c r="HR16" s="199"/>
      <c r="HS16" s="212"/>
      <c r="HT16" s="211"/>
      <c r="HU16" s="211"/>
      <c r="HV16" s="211"/>
      <c r="HW16" s="202"/>
      <c r="HX16" s="204"/>
      <c r="HY16" s="211"/>
      <c r="HZ16" s="215"/>
      <c r="IA16" s="202"/>
      <c r="IB16" s="204"/>
      <c r="IC16" s="176"/>
      <c r="ID16" s="211"/>
      <c r="IE16" s="202"/>
      <c r="IF16" s="204"/>
      <c r="IG16" s="211"/>
      <c r="IH16" s="211"/>
      <c r="II16" s="202"/>
      <c r="IJ16" s="205"/>
      <c r="IK16" s="194"/>
      <c r="IL16" s="211"/>
      <c r="IM16" s="211"/>
      <c r="IN16" s="202"/>
      <c r="IO16" s="205"/>
      <c r="IP16" s="194"/>
      <c r="IQ16" s="920"/>
      <c r="IR16" s="919"/>
      <c r="IS16" s="211"/>
      <c r="IT16" s="211"/>
      <c r="IU16" s="202"/>
      <c r="IV16" s="205"/>
      <c r="IW16" s="194"/>
      <c r="IX16" s="920"/>
      <c r="IY16" s="919"/>
      <c r="IZ16" s="211"/>
      <c r="JA16" s="211"/>
      <c r="JB16" s="216">
        <v>219.87</v>
      </c>
      <c r="JC16" s="208">
        <v>18540</v>
      </c>
      <c r="JD16" s="209">
        <v>193.36</v>
      </c>
      <c r="JE16" s="210">
        <v>3584894.4</v>
      </c>
      <c r="JF16" s="209">
        <f t="shared" si="11"/>
        <v>203.21951078748651</v>
      </c>
      <c r="JG16" s="210">
        <f t="shared" si="12"/>
        <v>3767689.73</v>
      </c>
      <c r="JH16" s="209">
        <f t="shared" si="13"/>
        <v>218.80262837108953</v>
      </c>
      <c r="JI16" s="210">
        <f t="shared" si="54"/>
        <v>4056600.73</v>
      </c>
      <c r="JJ16" s="209">
        <f t="shared" si="14"/>
        <v>219.41571718824164</v>
      </c>
      <c r="JK16" s="210">
        <f t="shared" si="55"/>
        <v>4067967.3966700002</v>
      </c>
      <c r="JL16" s="209">
        <f t="shared" si="15"/>
        <v>219.86519579288026</v>
      </c>
      <c r="JM16" s="210">
        <f t="shared" si="56"/>
        <v>4076300.73</v>
      </c>
      <c r="JN16" s="487" t="s">
        <v>348</v>
      </c>
      <c r="JP16" s="217"/>
      <c r="JQ16" s="218"/>
      <c r="JR16" s="219"/>
      <c r="JS16" s="220"/>
      <c r="JT16" s="221"/>
      <c r="JU16" s="221"/>
      <c r="JV16" s="222"/>
      <c r="JW16" s="285" t="s">
        <v>349</v>
      </c>
      <c r="JX16" s="486" t="s">
        <v>350</v>
      </c>
      <c r="JY16" s="489" t="s">
        <v>351</v>
      </c>
      <c r="JZ16" s="285" t="s">
        <v>353</v>
      </c>
      <c r="KA16" s="285"/>
      <c r="KB16" s="285" t="s">
        <v>352</v>
      </c>
    </row>
    <row r="17" spans="1:288" ht="27" customHeight="1" x14ac:dyDescent="0.25">
      <c r="A17" s="223" t="s">
        <v>237</v>
      </c>
      <c r="B17" s="224" t="s">
        <v>238</v>
      </c>
      <c r="C17" s="144"/>
      <c r="D17" s="225">
        <f>SUM(D11:D16)</f>
        <v>165744</v>
      </c>
      <c r="E17" s="225">
        <f>SUM(E11:E16)</f>
        <v>68868</v>
      </c>
      <c r="F17" s="225">
        <f>SUM(F11:F16)</f>
        <v>68868</v>
      </c>
      <c r="G17" s="225">
        <f>SUM(G11:G16)</f>
        <v>165744</v>
      </c>
      <c r="H17" s="225">
        <f>SUM(H11:H16)</f>
        <v>165744</v>
      </c>
      <c r="I17" s="226">
        <f>J17/D17</f>
        <v>382.34784068618592</v>
      </c>
      <c r="J17" s="226">
        <f>SUM(J11:J16)</f>
        <v>63371860.506691203</v>
      </c>
      <c r="K17" s="226">
        <f>L17/G17</f>
        <v>341.23986389844578</v>
      </c>
      <c r="L17" s="226">
        <f>SUM(L11:L16)</f>
        <v>56558460.001984</v>
      </c>
      <c r="M17" s="226">
        <f>N17/H17</f>
        <v>341.23986389844578</v>
      </c>
      <c r="N17" s="226">
        <f>SUM(N11:N16)</f>
        <v>56558460.001984</v>
      </c>
      <c r="O17" s="227"/>
      <c r="P17" s="227"/>
      <c r="Q17" s="227"/>
      <c r="R17" s="801">
        <f>SUM(R11:R16)</f>
        <v>165744</v>
      </c>
      <c r="S17" s="590">
        <f>T17/R17</f>
        <v>341.24010522251183</v>
      </c>
      <c r="T17" s="590">
        <f>SUM(T11:T16)</f>
        <v>56558500</v>
      </c>
      <c r="U17" s="227"/>
      <c r="V17" s="590">
        <f>W17/R17</f>
        <v>382.34784068618592</v>
      </c>
      <c r="W17" s="590">
        <f>SUM(W11:W16)</f>
        <v>63371860.506691203</v>
      </c>
      <c r="X17" s="227">
        <f>W24-W18</f>
        <v>63371860.509999998</v>
      </c>
      <c r="Y17" s="804">
        <v>56558460</v>
      </c>
      <c r="Z17" s="227"/>
      <c r="AA17" s="227"/>
      <c r="AB17" s="227"/>
      <c r="AC17" s="227"/>
      <c r="AD17" s="227"/>
      <c r="AE17" s="227"/>
      <c r="AF17" s="794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671">
        <f>SUM(AS11:AS16)</f>
        <v>68868</v>
      </c>
      <c r="AT17" s="590">
        <f>AU17/AS17</f>
        <v>279.41102456874017</v>
      </c>
      <c r="AU17" s="590">
        <f>SUM(AU11:AU16)</f>
        <v>19242478.439999998</v>
      </c>
      <c r="AV17" s="227"/>
      <c r="AW17" s="655">
        <f>SUM(AW11:AW16)</f>
        <v>68873</v>
      </c>
      <c r="AX17" s="197">
        <f>AY17/AW17</f>
        <v>279.39074008040888</v>
      </c>
      <c r="AY17" s="590">
        <f>SUM(AY11:AY16)</f>
        <v>19242478.441558</v>
      </c>
      <c r="AZ17" s="227"/>
      <c r="BA17" s="655">
        <f>SUM(BA11:BA16)</f>
        <v>68878</v>
      </c>
      <c r="BB17" s="197">
        <f>BC17/BA17</f>
        <v>279.3704584967914</v>
      </c>
      <c r="BC17" s="590">
        <f>SUM(BC11:BC16)</f>
        <v>19242478.440341998</v>
      </c>
      <c r="BD17" s="227"/>
      <c r="BE17" s="227"/>
      <c r="BF17" s="227"/>
      <c r="BG17" s="226">
        <f>BH17/AS17</f>
        <v>361.89359993030155</v>
      </c>
      <c r="BH17" s="226">
        <f>SUM(BH11:BH16)</f>
        <v>24922888.440000005</v>
      </c>
      <c r="BI17" s="195"/>
      <c r="BJ17" s="661">
        <f>BK17/AW17</f>
        <v>221.308370188608</v>
      </c>
      <c r="BK17" s="226">
        <f>SUM(BK11:BK16)</f>
        <v>15242171.379999999</v>
      </c>
      <c r="BL17" s="227"/>
      <c r="BM17" s="226">
        <f>BN17/BA17</f>
        <v>177.06869218037693</v>
      </c>
      <c r="BN17" s="226">
        <f>SUM(BN11:BN16)</f>
        <v>12196137.380000003</v>
      </c>
      <c r="BO17" s="296"/>
      <c r="BP17" s="227"/>
      <c r="BQ17" s="227"/>
      <c r="BR17" s="226">
        <f>BS17/AS17</f>
        <v>361.89359993030155</v>
      </c>
      <c r="BS17" s="197">
        <f>SUM(BS11:BS16)</f>
        <v>24922888.440000005</v>
      </c>
      <c r="BT17" s="227"/>
      <c r="BU17" s="227"/>
      <c r="BV17" s="226">
        <f>BW17/AS17</f>
        <v>363.0893657431609</v>
      </c>
      <c r="BW17" s="197">
        <f>SUM(BW11:BW16)</f>
        <v>25005238.440000005</v>
      </c>
      <c r="BX17" s="227"/>
      <c r="BY17" s="227"/>
      <c r="BZ17" s="226">
        <f>CA17/AW17</f>
        <v>371.43364758323293</v>
      </c>
      <c r="CA17" s="197">
        <f>SUM(CA11:CA16)</f>
        <v>25581749.610000003</v>
      </c>
      <c r="CB17" s="227"/>
      <c r="CC17" s="227"/>
      <c r="CD17" s="724">
        <f>SUM(CD11:CD16)</f>
        <v>168508</v>
      </c>
      <c r="CE17" s="194">
        <f>CF17/CD17</f>
        <v>327.49267709435759</v>
      </c>
      <c r="CF17" s="331">
        <f>SUM(CF11:CF16)</f>
        <v>55185136.031816006</v>
      </c>
      <c r="CG17" s="227"/>
      <c r="CH17" s="658">
        <f>SUM(CH11:CH16)</f>
        <v>168551</v>
      </c>
      <c r="CI17" s="593">
        <f>CJ17/CH17</f>
        <v>289.04060717463551</v>
      </c>
      <c r="CJ17" s="586">
        <f>SUM(CJ11:CJ16)</f>
        <v>48718083.379891992</v>
      </c>
      <c r="CK17" s="227"/>
      <c r="CL17" s="658">
        <f>SUM(CL11:CL16)</f>
        <v>168558</v>
      </c>
      <c r="CM17" s="593">
        <f>CN17/CL17</f>
        <v>289.02860368419181</v>
      </c>
      <c r="CN17" s="586">
        <f>SUM(CN11:CN16)</f>
        <v>48718083.379799999</v>
      </c>
      <c r="CO17" s="227"/>
      <c r="CP17" s="227"/>
      <c r="CQ17" s="227"/>
      <c r="CR17" s="539">
        <f>SUM(CR11:CR16)</f>
        <v>56939164.029999986</v>
      </c>
      <c r="CS17" s="227"/>
      <c r="CT17" s="227"/>
      <c r="CU17" s="227"/>
      <c r="CV17" s="227"/>
      <c r="CW17" s="539">
        <f>SUM(CW11:CW16)</f>
        <v>55570220.669999987</v>
      </c>
      <c r="CX17" s="227"/>
      <c r="CY17" s="227"/>
      <c r="CZ17" s="504">
        <f>SUM(CZ11:CZ16)</f>
        <v>64152</v>
      </c>
      <c r="DA17" s="229">
        <f>DB17/CZ17</f>
        <v>266.71242985409651</v>
      </c>
      <c r="DB17" s="229">
        <f>SUM(DB11:DB16)</f>
        <v>17110135.800000001</v>
      </c>
      <c r="DC17" s="500"/>
      <c r="DD17" s="500"/>
      <c r="DE17" s="202"/>
      <c r="DF17" s="334"/>
      <c r="DG17" s="231"/>
      <c r="DH17" s="543">
        <f>SUM(DH11:DH16)</f>
        <v>17110135.800000001</v>
      </c>
      <c r="DI17" s="215"/>
      <c r="DJ17" s="202">
        <f>SUM(DJ11:DJ16)</f>
        <v>45830885.5</v>
      </c>
      <c r="DK17" s="202"/>
      <c r="DL17" s="500"/>
      <c r="DM17" s="518" t="s">
        <v>380</v>
      </c>
      <c r="DN17" s="516">
        <f>DO16-DF16</f>
        <v>4538089.07</v>
      </c>
      <c r="DO17" s="517"/>
      <c r="DP17" s="231"/>
      <c r="DQ17" s="228">
        <f>SUM(DQ11:DQ16)</f>
        <v>21588339.746879999</v>
      </c>
      <c r="DR17" s="198">
        <v>59869.07</v>
      </c>
      <c r="DS17" s="198" t="s">
        <v>379</v>
      </c>
      <c r="DT17" s="521">
        <f>DT14-DQ18</f>
        <v>21588323.700000003</v>
      </c>
      <c r="DU17" s="522" t="s">
        <v>384</v>
      </c>
      <c r="DV17" s="231"/>
      <c r="DW17" s="228">
        <f>SUM(DW11:DW16)</f>
        <v>21648208.817376003</v>
      </c>
      <c r="DX17" s="531">
        <f>DX15-DH17</f>
        <v>4538073.0199999996</v>
      </c>
      <c r="DY17" s="532">
        <f>DX17/CZ17</f>
        <v>70.739384898366367</v>
      </c>
      <c r="DZ17" s="537"/>
      <c r="EA17" s="516"/>
      <c r="EB17" s="517"/>
      <c r="EC17" s="538" t="s">
        <v>394</v>
      </c>
      <c r="ED17" s="228">
        <f>SUM(ED11:ED16)</f>
        <v>23284363.258187998</v>
      </c>
      <c r="EE17" s="198">
        <v>59869.07</v>
      </c>
      <c r="EF17" s="198" t="s">
        <v>379</v>
      </c>
      <c r="EG17" s="521">
        <f>EI14-ED18</f>
        <v>23284363.260000002</v>
      </c>
      <c r="EH17" s="522" t="s">
        <v>393</v>
      </c>
      <c r="EI17" s="522">
        <f>EK14-DW17</f>
        <v>1636154.442623999</v>
      </c>
      <c r="EJ17" s="551">
        <f>EI17/CZ17</f>
        <v>25.504340357650563</v>
      </c>
      <c r="EK17" s="522"/>
      <c r="EL17" s="522"/>
      <c r="EM17" s="516"/>
      <c r="EN17" s="517"/>
      <c r="EO17" s="560" t="s">
        <v>394</v>
      </c>
      <c r="EP17" s="228">
        <f>SUM(EP11:EP16)</f>
        <v>23340805.060103998</v>
      </c>
      <c r="EQ17" s="198">
        <v>59869.07</v>
      </c>
      <c r="ER17" s="198" t="s">
        <v>379</v>
      </c>
      <c r="ES17" s="521">
        <f>ET14-EP18</f>
        <v>23340805.060000002</v>
      </c>
      <c r="ET17" s="522" t="s">
        <v>393</v>
      </c>
      <c r="EU17" s="522">
        <f>ES17-ED17</f>
        <v>56441.801812004298</v>
      </c>
      <c r="EV17" s="551">
        <f>EU17/$CZ$17</f>
        <v>0.87981359602201492</v>
      </c>
      <c r="EW17" s="551"/>
      <c r="EX17" s="516"/>
      <c r="EY17" s="517"/>
      <c r="EZ17" s="560" t="s">
        <v>394</v>
      </c>
      <c r="FA17" s="228">
        <f>SUM(FA11:FA16)</f>
        <v>23340805.060103998</v>
      </c>
      <c r="FB17" s="198">
        <v>59869.07</v>
      </c>
      <c r="FC17" s="198" t="s">
        <v>379</v>
      </c>
      <c r="FD17" s="521">
        <f>FE14-FA18</f>
        <v>23340805.060000002</v>
      </c>
      <c r="FE17" s="522" t="s">
        <v>393</v>
      </c>
      <c r="FF17" s="522"/>
      <c r="FG17" s="551">
        <f>FF17/$CZ$17</f>
        <v>0</v>
      </c>
      <c r="FH17" s="551"/>
      <c r="FI17" s="551"/>
      <c r="FJ17" s="516"/>
      <c r="FK17" s="517"/>
      <c r="FL17" s="560" t="s">
        <v>394</v>
      </c>
      <c r="FM17" s="228">
        <f>SUM(FM11:FM16)</f>
        <v>28209007.918476</v>
      </c>
      <c r="FN17" s="566">
        <v>59869.07</v>
      </c>
      <c r="FO17" s="566" t="s">
        <v>379</v>
      </c>
      <c r="FP17" s="176"/>
      <c r="FQ17" s="176"/>
      <c r="FR17" s="176"/>
      <c r="FS17" s="176"/>
      <c r="FT17" s="176"/>
      <c r="FU17" s="176"/>
      <c r="FV17" s="215">
        <v>16358248.109999999</v>
      </c>
      <c r="FW17" s="215">
        <v>28209007.920000002</v>
      </c>
      <c r="FX17" s="599">
        <f>SUM(FX11:FX16)</f>
        <v>44956</v>
      </c>
      <c r="FY17" s="229">
        <f>FZ17/FX17</f>
        <v>627.48037894741526</v>
      </c>
      <c r="FZ17" s="590">
        <f>SUM(FZ11:FZ16)</f>
        <v>28209007.915960003</v>
      </c>
      <c r="GA17" s="331">
        <f>GC17/FX17</f>
        <v>380.59737970566772</v>
      </c>
      <c r="GB17" s="539">
        <f>GC17/FX17</f>
        <v>380.59737970566772</v>
      </c>
      <c r="GC17" s="229">
        <f>SUM(GC11:GC16)</f>
        <v>17110135.802047998</v>
      </c>
      <c r="GD17" s="215"/>
      <c r="GE17" s="474"/>
      <c r="GF17" s="215"/>
      <c r="GG17" s="215"/>
      <c r="GH17" s="215"/>
      <c r="GI17" s="644"/>
      <c r="GJ17" s="215"/>
      <c r="GK17" s="215"/>
      <c r="GL17" s="215"/>
      <c r="GM17" s="215"/>
      <c r="GN17" s="215"/>
      <c r="GO17" s="215"/>
      <c r="GP17" s="215"/>
      <c r="GQ17" s="215"/>
      <c r="GR17" s="215"/>
      <c r="GT17" s="521" t="e">
        <f>GU14-FM18</f>
        <v>#REF!</v>
      </c>
      <c r="GU17" s="522" t="s">
        <v>393</v>
      </c>
      <c r="GV17" s="522"/>
      <c r="GW17" s="551">
        <f>GV17/$CZ$17</f>
        <v>0</v>
      </c>
      <c r="GX17" s="551"/>
      <c r="GY17" s="328"/>
      <c r="GZ17" s="227"/>
      <c r="HA17" s="202"/>
      <c r="HB17" s="334"/>
      <c r="HC17" s="231"/>
      <c r="HD17" s="228" t="e">
        <f>SUM(HD11:HD16)</f>
        <v>#VALUE!</v>
      </c>
      <c r="HE17" s="215"/>
      <c r="HF17" s="202"/>
      <c r="HG17" s="334"/>
      <c r="HH17" s="231"/>
      <c r="HI17" s="228" t="e">
        <f>SUM(HI11:HI16)</f>
        <v>#VALUE!</v>
      </c>
      <c r="HJ17" s="215"/>
      <c r="HK17" s="202"/>
      <c r="HL17" s="334"/>
      <c r="HM17" s="231"/>
      <c r="HN17" s="228" t="e">
        <f>SUM(HN11:HN16)</f>
        <v>#VALUE!</v>
      </c>
      <c r="HO17" s="215"/>
      <c r="HP17" s="215"/>
      <c r="HQ17" s="215"/>
      <c r="HR17" s="228"/>
      <c r="HS17" s="228"/>
      <c r="HT17" s="227"/>
      <c r="HU17" s="229"/>
      <c r="HV17" s="230"/>
      <c r="HW17" s="231"/>
      <c r="HX17" s="228"/>
      <c r="HY17" s="227"/>
      <c r="HZ17" s="227"/>
      <c r="IA17" s="231"/>
      <c r="IB17" s="228"/>
      <c r="IC17" s="232"/>
      <c r="ID17" s="227"/>
      <c r="IE17" s="202"/>
      <c r="IF17" s="228"/>
      <c r="IG17" s="227"/>
      <c r="IH17" s="227"/>
      <c r="II17" s="202"/>
      <c r="IJ17" s="228"/>
      <c r="IK17" s="227"/>
      <c r="IL17" s="227"/>
      <c r="IM17" s="201"/>
      <c r="IN17" s="202"/>
      <c r="IO17" s="228"/>
      <c r="IP17" s="233"/>
      <c r="IQ17" s="920"/>
      <c r="IR17" s="919"/>
      <c r="IS17" s="227"/>
      <c r="IT17" s="201"/>
      <c r="IU17" s="202"/>
      <c r="IV17" s="228"/>
      <c r="IW17" s="233"/>
      <c r="IX17" s="920"/>
      <c r="IY17" s="919"/>
      <c r="IZ17" s="475"/>
      <c r="JA17" s="227"/>
      <c r="JB17" s="207">
        <v>231.71</v>
      </c>
      <c r="JC17" s="234">
        <f>SUM(JC11:JC16)</f>
        <v>114192</v>
      </c>
      <c r="JE17" s="235">
        <f>SUM(JE11:JE16)</f>
        <v>22642242.800000001</v>
      </c>
      <c r="JF17" s="207">
        <f>1388260+5445800+21848112</f>
        <v>28682172</v>
      </c>
      <c r="JG17" s="236">
        <f>SUM(JG11:JG16)+0.02</f>
        <v>23739014.800000001</v>
      </c>
      <c r="JH17" s="237"/>
      <c r="JI17" s="238">
        <f>SUM(JI11:JI16)+0.02</f>
        <v>25472480.800000001</v>
      </c>
      <c r="JJ17" s="239"/>
      <c r="JK17" s="236">
        <f>SUM(JK11:JK16)+0.02</f>
        <v>25540680.800020002</v>
      </c>
      <c r="JM17" s="236">
        <f>SUM(JM11:JM16)+0.02</f>
        <v>25590680.800000001</v>
      </c>
      <c r="JN17" s="488">
        <v>18070083</v>
      </c>
      <c r="JO17" s="240"/>
      <c r="JP17" s="241"/>
      <c r="JQ17" s="242"/>
      <c r="JR17" s="243"/>
      <c r="JS17" s="242"/>
      <c r="JT17" s="244"/>
      <c r="JU17" s="245"/>
      <c r="JV17" s="246"/>
      <c r="JW17" s="257">
        <v>15760300</v>
      </c>
      <c r="JX17" s="249">
        <v>2113170.35</v>
      </c>
      <c r="JY17" s="271">
        <f>JW17+JX17</f>
        <v>17873470.350000001</v>
      </c>
      <c r="JZ17" s="271">
        <f>JY17-J19</f>
        <v>17489742.670000002</v>
      </c>
      <c r="KA17" s="249">
        <f>JN17-JZ17</f>
        <v>580340.32999999821</v>
      </c>
      <c r="KB17" s="258">
        <f>KA17/D17</f>
        <v>3.5014258736364408</v>
      </c>
    </row>
    <row r="18" spans="1:288" ht="47.4" customHeight="1" x14ac:dyDescent="0.25">
      <c r="A18" s="191" t="s">
        <v>228</v>
      </c>
      <c r="B18" s="192" t="s">
        <v>240</v>
      </c>
      <c r="C18" s="144" t="s">
        <v>241</v>
      </c>
      <c r="D18" s="144">
        <v>2</v>
      </c>
      <c r="E18" s="144">
        <v>2</v>
      </c>
      <c r="F18" s="144">
        <v>2</v>
      </c>
      <c r="G18" s="144">
        <f>2-2</f>
        <v>0</v>
      </c>
      <c r="H18" s="144">
        <f>1-1</f>
        <v>0</v>
      </c>
      <c r="I18" s="194">
        <v>191863.84</v>
      </c>
      <c r="J18" s="194">
        <f>D18*I18</f>
        <v>383727.68</v>
      </c>
      <c r="K18" s="194">
        <v>191863.84</v>
      </c>
      <c r="L18" s="194">
        <f>G18*K18</f>
        <v>0</v>
      </c>
      <c r="M18" s="194">
        <v>191863.84</v>
      </c>
      <c r="N18" s="194">
        <f>H18*M18</f>
        <v>0</v>
      </c>
      <c r="O18" s="211"/>
      <c r="P18" s="211"/>
      <c r="Q18" s="211"/>
      <c r="R18" s="502">
        <v>0</v>
      </c>
      <c r="S18" s="204">
        <v>191863.84</v>
      </c>
      <c r="T18" s="204">
        <f>S18*R18</f>
        <v>0</v>
      </c>
      <c r="U18" s="796">
        <v>2</v>
      </c>
      <c r="V18" s="204">
        <v>191863.84</v>
      </c>
      <c r="W18" s="204">
        <f>V18*U18</f>
        <v>383727.68</v>
      </c>
      <c r="X18" s="211"/>
      <c r="Y18" s="211">
        <f>T17-Y17</f>
        <v>40</v>
      </c>
      <c r="Z18" s="805">
        <f>Y18/R13</f>
        <v>3.5161744022503515E-3</v>
      </c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502">
        <v>4</v>
      </c>
      <c r="AT18" s="204">
        <v>191863.84</v>
      </c>
      <c r="AU18" s="204">
        <f>AT18*AS18-0.02</f>
        <v>767455.34</v>
      </c>
      <c r="AV18" s="211"/>
      <c r="AW18" s="177">
        <f>4-4</f>
        <v>0</v>
      </c>
      <c r="AX18" s="204">
        <f>191863.84-191863.84</f>
        <v>0</v>
      </c>
      <c r="AY18" s="204">
        <f>AW18*AX18</f>
        <v>0</v>
      </c>
      <c r="AZ18" s="211"/>
      <c r="BA18" s="177">
        <f>4-4</f>
        <v>0</v>
      </c>
      <c r="BB18" s="204">
        <f>191863.84-191863.84</f>
        <v>0</v>
      </c>
      <c r="BC18" s="204">
        <f>BA18*BB18</f>
        <v>0</v>
      </c>
      <c r="BD18" s="211"/>
      <c r="BE18" s="211"/>
      <c r="BF18" s="502">
        <v>4</v>
      </c>
      <c r="BG18" s="204">
        <v>191863.84</v>
      </c>
      <c r="BH18" s="204">
        <f>BG18*BF18-0.02</f>
        <v>767455.34</v>
      </c>
      <c r="BI18" s="211"/>
      <c r="BJ18" s="211"/>
      <c r="BK18" s="211"/>
      <c r="BL18" s="211"/>
      <c r="BM18" s="211"/>
      <c r="BN18" s="211"/>
      <c r="BO18" s="211"/>
      <c r="BP18" s="211"/>
      <c r="BQ18" s="502">
        <v>4</v>
      </c>
      <c r="BR18" s="204">
        <v>191863.84</v>
      </c>
      <c r="BS18" s="204">
        <f>BR18*BQ18-0.02</f>
        <v>767455.34</v>
      </c>
      <c r="BU18" s="211"/>
      <c r="BV18" s="204">
        <v>191863.84</v>
      </c>
      <c r="BW18" s="204">
        <f>BV18*BQ18-0.02</f>
        <v>767455.34</v>
      </c>
      <c r="BX18" s="211"/>
      <c r="BY18" s="211"/>
      <c r="BZ18" s="211"/>
      <c r="CA18" s="211"/>
      <c r="CB18" s="211"/>
      <c r="CC18" s="211"/>
      <c r="CD18" s="733">
        <v>4</v>
      </c>
      <c r="CE18" s="204">
        <v>191863.84</v>
      </c>
      <c r="CF18" s="202">
        <f>CE18*CD18-0.02</f>
        <v>767455.34</v>
      </c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04">
        <v>191863.84</v>
      </c>
      <c r="CR18" s="202">
        <f>CQ18*CD18-0.02</f>
        <v>767455.34</v>
      </c>
      <c r="CS18" s="211"/>
      <c r="CT18" s="211"/>
      <c r="CU18" s="211"/>
      <c r="CV18" s="204">
        <v>191863.84</v>
      </c>
      <c r="CW18" s="202">
        <f>CV18*CD18-0.02</f>
        <v>767455.34</v>
      </c>
      <c r="CX18" s="211"/>
      <c r="CY18" s="211"/>
      <c r="CZ18" s="502">
        <v>4</v>
      </c>
      <c r="DA18" s="204">
        <v>190837.65</v>
      </c>
      <c r="DB18" s="204">
        <f>DA18*CZ18</f>
        <v>763350.6</v>
      </c>
      <c r="DC18" s="176"/>
      <c r="DD18" s="176"/>
      <c r="DE18" s="176"/>
      <c r="DF18" s="176"/>
      <c r="DG18" s="204">
        <v>190837.65</v>
      </c>
      <c r="DH18" s="202">
        <f>DG18*CZ18</f>
        <v>763350.6</v>
      </c>
      <c r="DI18" s="176"/>
      <c r="DJ18" s="176"/>
      <c r="DK18" s="176"/>
      <c r="DL18" s="176"/>
      <c r="DM18" s="176"/>
      <c r="DN18" s="176"/>
      <c r="DO18" s="176">
        <v>190837.65</v>
      </c>
      <c r="DP18" s="203">
        <f>190837.65+4.0125</f>
        <v>190841.66250000001</v>
      </c>
      <c r="DQ18" s="202">
        <f>DP18*CZ18</f>
        <v>763366.65</v>
      </c>
      <c r="DR18" s="176"/>
      <c r="DS18" s="176"/>
      <c r="DT18" s="176"/>
      <c r="DU18" s="176"/>
      <c r="DV18" s="176"/>
      <c r="DW18" s="176"/>
      <c r="DX18" s="176"/>
      <c r="DY18" s="211"/>
      <c r="DZ18" s="211"/>
      <c r="EA18" s="176"/>
      <c r="EB18" s="176">
        <v>190837.65</v>
      </c>
      <c r="EC18" s="203">
        <f>190837.65+4.0125</f>
        <v>190841.66250000001</v>
      </c>
      <c r="ED18" s="202">
        <f>EC18*CZ18</f>
        <v>763366.65</v>
      </c>
      <c r="EE18" s="188" t="s">
        <v>395</v>
      </c>
      <c r="EF18" s="176"/>
      <c r="EG18" s="176"/>
      <c r="EH18" s="176"/>
      <c r="EI18" s="176"/>
      <c r="EJ18" s="176"/>
      <c r="EK18" s="176"/>
      <c r="EL18" s="176"/>
      <c r="EM18" s="176"/>
      <c r="EN18" s="176"/>
      <c r="EO18" s="203">
        <f>190837.65+4.0125</f>
        <v>190841.66250000001</v>
      </c>
      <c r="EP18" s="202">
        <f>EO18*CZ18</f>
        <v>763366.65</v>
      </c>
      <c r="EQ18" s="188" t="s">
        <v>395</v>
      </c>
      <c r="ER18" s="176"/>
      <c r="ES18" s="176"/>
      <c r="ET18" s="176"/>
      <c r="EU18" s="176"/>
      <c r="EV18" s="176"/>
      <c r="EW18" s="176"/>
      <c r="EX18" s="176"/>
      <c r="EY18" s="176"/>
      <c r="EZ18" s="203">
        <f>190837.65+4.0125</f>
        <v>190841.66250000001</v>
      </c>
      <c r="FA18" s="202">
        <f>EZ18*$CZ$18</f>
        <v>763366.65</v>
      </c>
      <c r="FB18" s="188" t="s">
        <v>395</v>
      </c>
      <c r="FC18" s="176"/>
      <c r="FD18" s="176"/>
      <c r="FE18" s="176"/>
      <c r="FF18" s="176"/>
      <c r="FG18" s="176"/>
      <c r="FH18" s="176"/>
      <c r="FI18" s="176"/>
      <c r="FJ18" s="176"/>
      <c r="FK18" s="176"/>
      <c r="FL18" s="229" t="e">
        <f>FM18/#REF!</f>
        <v>#REF!</v>
      </c>
      <c r="FM18" s="269" t="e">
        <f>SUM(#REF!)</f>
        <v>#REF!</v>
      </c>
      <c r="FN18" s="215"/>
      <c r="FO18" s="176"/>
      <c r="FP18" s="176"/>
      <c r="FQ18" s="176"/>
      <c r="FR18" s="176"/>
      <c r="FS18" s="176"/>
      <c r="FT18" s="176"/>
      <c r="FU18" s="176"/>
      <c r="FV18" s="176"/>
      <c r="FW18" s="176"/>
      <c r="FX18" s="502">
        <v>4</v>
      </c>
      <c r="FY18" s="204">
        <v>190841.66</v>
      </c>
      <c r="FZ18" s="202">
        <f>FY18*FX18+0.01</f>
        <v>763366.65</v>
      </c>
      <c r="GA18" s="176"/>
      <c r="GB18" s="204">
        <v>190837.65</v>
      </c>
      <c r="GC18" s="202">
        <f>GB18*FX18-0.02</f>
        <v>763350.58</v>
      </c>
      <c r="GD18" s="176"/>
      <c r="GE18" s="176"/>
      <c r="GF18" s="595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T18" s="176"/>
      <c r="GU18" s="176"/>
      <c r="GV18" s="176"/>
      <c r="GW18" s="176"/>
      <c r="GX18" s="211"/>
      <c r="GY18" s="327"/>
      <c r="GZ18" s="451" t="e">
        <f>#REF!-#REF!</f>
        <v>#REF!</v>
      </c>
      <c r="HA18" s="462" t="e">
        <f>#REF!-#REF!</f>
        <v>#REF!</v>
      </c>
      <c r="HB18" s="326" t="e">
        <f>#REF!-#REF!</f>
        <v>#REF!</v>
      </c>
      <c r="HC18" s="326" t="e">
        <f>#REF!-#REF!</f>
        <v>#REF!</v>
      </c>
      <c r="HD18" s="326" t="e">
        <f>#REF!-#REF!</f>
        <v>#REF!</v>
      </c>
      <c r="HE18" s="452">
        <v>4334708.4000000004</v>
      </c>
      <c r="HF18" s="471" t="s">
        <v>331</v>
      </c>
      <c r="HG18" s="176"/>
      <c r="HH18" s="176"/>
      <c r="HI18" s="259"/>
      <c r="HJ18" s="259"/>
      <c r="HK18" s="259"/>
      <c r="HL18" s="259"/>
      <c r="HM18" s="259"/>
      <c r="HN18" s="259"/>
      <c r="HO18" s="259"/>
      <c r="HP18" s="259"/>
      <c r="HQ18" s="259"/>
      <c r="HR18" s="260"/>
      <c r="HS18" s="260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  <c r="IW18" s="259"/>
      <c r="IX18" s="259"/>
      <c r="IY18" s="259"/>
      <c r="IZ18" s="259"/>
      <c r="JA18" s="259"/>
      <c r="JB18" s="25"/>
      <c r="JN18" s="490">
        <v>27957399.120000001</v>
      </c>
      <c r="JW18" s="257">
        <v>24652200</v>
      </c>
      <c r="JX18" s="180">
        <v>0</v>
      </c>
      <c r="JY18" s="257">
        <f>JW18</f>
        <v>24652200</v>
      </c>
      <c r="JZ18" s="257">
        <f>JN18-JY18</f>
        <v>3305199.120000001</v>
      </c>
      <c r="KA18" s="258" t="e">
        <f>JZ18/#REF!</f>
        <v>#REF!</v>
      </c>
    </row>
    <row r="19" spans="1:288" ht="30" customHeight="1" x14ac:dyDescent="0.25">
      <c r="A19" s="223" t="s">
        <v>242</v>
      </c>
      <c r="B19" s="224" t="s">
        <v>243</v>
      </c>
      <c r="C19" s="144"/>
      <c r="D19" s="261">
        <f>SUM(D18:D18)</f>
        <v>2</v>
      </c>
      <c r="E19" s="262">
        <f>SUM(E18:E18)</f>
        <v>2</v>
      </c>
      <c r="F19" s="262">
        <f>SUM(F18:F18)</f>
        <v>2</v>
      </c>
      <c r="G19" s="261">
        <f>SUM(G18:G18)</f>
        <v>0</v>
      </c>
      <c r="H19" s="261">
        <f>SUM(H18:H18)</f>
        <v>0</v>
      </c>
      <c r="I19" s="194">
        <f>I18</f>
        <v>191863.84</v>
      </c>
      <c r="J19" s="226">
        <f>SUM(J18:J18)</f>
        <v>383727.68</v>
      </c>
      <c r="K19" s="226">
        <f>K18</f>
        <v>191863.84</v>
      </c>
      <c r="L19" s="226">
        <f>SUM(L18:L18)</f>
        <v>0</v>
      </c>
      <c r="M19" s="194">
        <f>M18</f>
        <v>191863.84</v>
      </c>
      <c r="N19" s="226">
        <f>SUM(N18:N18)</f>
        <v>0</v>
      </c>
      <c r="O19" s="253"/>
      <c r="P19" s="253"/>
      <c r="Q19" s="253"/>
      <c r="R19" s="503"/>
      <c r="S19" s="202"/>
      <c r="T19" s="202">
        <f>T18+T17</f>
        <v>56558500</v>
      </c>
      <c r="U19" s="253"/>
      <c r="V19" s="202"/>
      <c r="W19" s="202">
        <f>W18+W17</f>
        <v>63755588.186691202</v>
      </c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503"/>
      <c r="AT19" s="202"/>
      <c r="AU19" s="202">
        <f>AU18+AU17</f>
        <v>20009933.779999997</v>
      </c>
      <c r="AV19" s="253"/>
      <c r="AW19" s="653"/>
      <c r="AX19" s="226"/>
      <c r="AY19" s="202">
        <f>AY18+AY17</f>
        <v>19242478.441558</v>
      </c>
      <c r="AZ19" s="253"/>
      <c r="BA19" s="253"/>
      <c r="BB19" s="253"/>
      <c r="BC19" s="202" t="e">
        <f>BC18+#REF!+BC17</f>
        <v>#REF!</v>
      </c>
      <c r="BD19" s="253"/>
      <c r="BE19" s="253"/>
      <c r="BF19" s="503"/>
      <c r="BG19" s="202"/>
      <c r="BH19" s="202">
        <f>BH18+BH17</f>
        <v>25690343.780000005</v>
      </c>
      <c r="BI19" s="253"/>
      <c r="BJ19" s="253"/>
      <c r="BK19" s="253"/>
      <c r="BL19" s="253"/>
      <c r="BM19" s="253"/>
      <c r="BN19" s="253"/>
      <c r="BO19" s="253"/>
      <c r="BP19" s="253"/>
      <c r="BQ19" s="503"/>
      <c r="BR19" s="202"/>
      <c r="BS19" s="197">
        <f>BS18+BS17</f>
        <v>25690343.780000005</v>
      </c>
      <c r="BU19" s="253"/>
      <c r="BV19" s="202"/>
      <c r="BW19" s="197">
        <f>BW18+BW17</f>
        <v>25772693.780000005</v>
      </c>
      <c r="BX19" s="253"/>
      <c r="BY19" s="253"/>
      <c r="BZ19" s="253"/>
      <c r="CA19" s="253"/>
      <c r="CB19" s="253"/>
      <c r="CC19" s="253"/>
      <c r="CD19" s="253"/>
      <c r="CE19" s="253"/>
      <c r="CF19" s="226">
        <f>CF17+CF18</f>
        <v>55952591.371816009</v>
      </c>
      <c r="CG19" s="215"/>
      <c r="CH19" s="215"/>
      <c r="CI19" s="215"/>
      <c r="CJ19" s="253"/>
      <c r="CK19" s="253"/>
      <c r="CL19" s="253"/>
      <c r="CM19" s="253"/>
      <c r="CN19" s="253"/>
      <c r="CO19" s="253"/>
      <c r="CP19" s="253"/>
      <c r="CQ19" s="253"/>
      <c r="CR19" s="575">
        <f>CR18+CR17</f>
        <v>57706619.36999999</v>
      </c>
      <c r="CS19" s="253"/>
      <c r="CT19" s="253"/>
      <c r="CU19" s="253"/>
      <c r="CV19" s="253"/>
      <c r="CW19" s="575">
        <f>CW18+CW17</f>
        <v>56337676.00999999</v>
      </c>
      <c r="CX19" s="253"/>
      <c r="CY19" s="253"/>
      <c r="CZ19" s="503">
        <v>4</v>
      </c>
      <c r="DA19" s="202"/>
      <c r="DB19" s="202"/>
      <c r="DC19" s="215"/>
      <c r="DD19" s="215"/>
      <c r="DE19" s="215"/>
      <c r="DF19" s="215"/>
      <c r="DG19" s="202"/>
      <c r="DH19" s="202" t="e">
        <f>DH18+#REF!+DH17</f>
        <v>#REF!</v>
      </c>
      <c r="DI19" s="215"/>
      <c r="DJ19" s="215"/>
      <c r="DK19" s="215"/>
      <c r="DL19" s="215"/>
      <c r="DM19" s="215"/>
      <c r="DN19" s="215"/>
      <c r="DO19" s="215"/>
      <c r="DP19" s="202"/>
      <c r="DQ19" s="228" t="e">
        <f>DQ18+#REF!+DQ17</f>
        <v>#REF!</v>
      </c>
      <c r="DR19" s="527" t="s">
        <v>385</v>
      </c>
      <c r="DS19" s="215"/>
      <c r="DT19" s="215"/>
      <c r="DU19" s="215"/>
      <c r="DV19" s="215"/>
      <c r="DW19" s="215"/>
      <c r="DX19" s="215"/>
      <c r="DY19" s="253"/>
      <c r="DZ19" s="253"/>
      <c r="EA19" s="215"/>
      <c r="EB19" s="215"/>
      <c r="EC19" s="202"/>
      <c r="ED19" s="228" t="e">
        <f>ED18+#REF!+ED17</f>
        <v>#REF!</v>
      </c>
      <c r="EE19" s="527" t="s">
        <v>402</v>
      </c>
      <c r="EF19" s="215"/>
      <c r="EG19" s="215"/>
      <c r="EH19" s="215"/>
      <c r="EI19" s="215"/>
      <c r="EJ19" s="215"/>
      <c r="EK19" s="215"/>
      <c r="EL19" s="215"/>
      <c r="EM19" s="215"/>
      <c r="EN19" s="215"/>
      <c r="EO19" s="202"/>
      <c r="EP19" s="228" t="e">
        <f>EP18+#REF!+EP17</f>
        <v>#REF!</v>
      </c>
      <c r="EQ19" s="527" t="s">
        <v>402</v>
      </c>
      <c r="ER19" s="215"/>
      <c r="ES19" s="215"/>
      <c r="ET19" s="215"/>
      <c r="EU19" s="215"/>
      <c r="EV19" s="215"/>
      <c r="EW19" s="215"/>
      <c r="EX19" s="215"/>
      <c r="EY19" s="215"/>
      <c r="EZ19" s="202"/>
      <c r="FA19" s="228" t="e">
        <f>FA18+#REF!+FA17</f>
        <v>#REF!</v>
      </c>
      <c r="FB19" s="527" t="s">
        <v>402</v>
      </c>
      <c r="FC19" s="215"/>
      <c r="FD19" s="215"/>
      <c r="FE19" s="215"/>
      <c r="FF19" s="215"/>
      <c r="FG19" s="215"/>
      <c r="FH19" s="215"/>
      <c r="FI19" s="215"/>
      <c r="FJ19" s="215"/>
      <c r="FK19" s="215"/>
      <c r="FL19" s="203">
        <f>190837.65+4.0125</f>
        <v>190841.66250000001</v>
      </c>
      <c r="FM19" s="202">
        <f>FL19*$CZ$18</f>
        <v>763366.65</v>
      </c>
      <c r="FN19" s="188" t="s">
        <v>395</v>
      </c>
      <c r="FO19" s="215"/>
      <c r="FP19" s="215"/>
      <c r="FQ19" s="215"/>
      <c r="FR19" s="215"/>
      <c r="FS19" s="215"/>
      <c r="FT19" s="215"/>
      <c r="FU19" s="215"/>
      <c r="FV19" s="215"/>
      <c r="FW19" s="215"/>
      <c r="FX19" s="590" t="s">
        <v>305</v>
      </c>
      <c r="FY19" s="590"/>
      <c r="FZ19" s="590" t="e">
        <f>FZ17+#REF!+FZ18</f>
        <v>#REF!</v>
      </c>
      <c r="GA19" s="215"/>
      <c r="GB19" s="586" t="s">
        <v>305</v>
      </c>
      <c r="GC19" s="586" t="e">
        <f>GC17+#REF!+GC18-0.01</f>
        <v>#REF!</v>
      </c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T19" s="215"/>
      <c r="GU19" s="215"/>
      <c r="GV19" s="215"/>
      <c r="GW19" s="215"/>
      <c r="GX19" s="253"/>
      <c r="GY19" s="456"/>
      <c r="GZ19" s="457">
        <v>71</v>
      </c>
      <c r="HA19" s="461">
        <v>6408</v>
      </c>
      <c r="HB19" s="256"/>
      <c r="HC19" s="256"/>
      <c r="HD19" s="453" t="s">
        <v>330</v>
      </c>
      <c r="HE19" s="236" t="e">
        <f>#REF!+HE18</f>
        <v>#REF!</v>
      </c>
      <c r="HF19" s="465" t="s">
        <v>324</v>
      </c>
      <c r="HG19" s="269" t="s">
        <v>327</v>
      </c>
      <c r="HH19" s="269" t="s">
        <v>328</v>
      </c>
      <c r="HI19" s="256"/>
      <c r="HJ19" s="256"/>
      <c r="HK19" s="256"/>
      <c r="HL19" s="256"/>
      <c r="HM19" s="256"/>
      <c r="HN19" s="256"/>
      <c r="HO19" s="256"/>
      <c r="HP19" s="256"/>
      <c r="HQ19" s="256"/>
      <c r="HR19" s="254"/>
      <c r="HS19" s="255">
        <f>HN19</f>
        <v>0</v>
      </c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  <c r="IX19" s="256"/>
      <c r="IY19" s="256"/>
      <c r="IZ19" s="256"/>
      <c r="JA19" s="256"/>
      <c r="JB19" s="25"/>
      <c r="JE19" s="249"/>
      <c r="JF19" s="180"/>
      <c r="JG19" s="180"/>
      <c r="JH19" s="180"/>
      <c r="JI19" s="180" t="s">
        <v>244</v>
      </c>
      <c r="JJ19" s="180" t="s">
        <v>245</v>
      </c>
      <c r="JY19" s="257" t="e">
        <f>JY18-#REF!</f>
        <v>#REF!</v>
      </c>
      <c r="JZ19" s="258" t="e">
        <f>JY19/#REF!</f>
        <v>#REF!</v>
      </c>
    </row>
    <row r="20" spans="1:288" ht="22.95" hidden="1" customHeight="1" x14ac:dyDescent="0.25">
      <c r="A20" s="191" t="s">
        <v>228</v>
      </c>
      <c r="B20" s="192" t="s">
        <v>246</v>
      </c>
      <c r="C20" s="192" t="s">
        <v>130</v>
      </c>
      <c r="D20" s="192">
        <f>28+6</f>
        <v>34</v>
      </c>
      <c r="E20" s="192">
        <f>28+6</f>
        <v>34</v>
      </c>
      <c r="F20" s="192">
        <f>28+6</f>
        <v>34</v>
      </c>
      <c r="G20" s="192">
        <f>28+6</f>
        <v>34</v>
      </c>
      <c r="H20" s="192">
        <f>28+6</f>
        <v>34</v>
      </c>
      <c r="I20" s="263"/>
      <c r="J20" s="263"/>
      <c r="K20" s="263"/>
      <c r="L20" s="264"/>
      <c r="M20" s="264"/>
      <c r="N20" s="264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56"/>
      <c r="CH20" s="256"/>
      <c r="CI20" s="256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65"/>
      <c r="DZ20" s="265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02"/>
      <c r="FM20" s="228" t="e">
        <f>FM19+FM18+#REF!</f>
        <v>#REF!</v>
      </c>
      <c r="FN20" s="527" t="s">
        <v>402</v>
      </c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65"/>
      <c r="GY20" s="256"/>
      <c r="GZ20" s="458" t="e">
        <f>#REF!+GZ19</f>
        <v>#REF!</v>
      </c>
      <c r="HA20" s="458" t="e">
        <f>#REF!+HA19</f>
        <v>#REF!</v>
      </c>
      <c r="HB20" s="256"/>
      <c r="HC20" s="256"/>
      <c r="HD20" s="256"/>
      <c r="HE20" s="256"/>
      <c r="HF20" s="465"/>
      <c r="HG20" s="465"/>
      <c r="HH20" s="465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  <c r="IX20" s="256"/>
      <c r="IY20" s="256"/>
      <c r="IZ20" s="256"/>
      <c r="JA20" s="256"/>
    </row>
    <row r="21" spans="1:288" ht="22.95" hidden="1" customHeight="1" x14ac:dyDescent="0.25">
      <c r="A21" s="191"/>
      <c r="B21" s="192" t="s">
        <v>247</v>
      </c>
      <c r="C21" s="192" t="s">
        <v>130</v>
      </c>
      <c r="D21" s="192"/>
      <c r="E21" s="192"/>
      <c r="F21" s="192"/>
      <c r="G21" s="192"/>
      <c r="H21" s="192"/>
      <c r="I21" s="263"/>
      <c r="J21" s="263"/>
      <c r="K21" s="263"/>
      <c r="L21" s="264"/>
      <c r="M21" s="264"/>
      <c r="N21" s="264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56"/>
      <c r="CH21" s="256"/>
      <c r="CI21" s="256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65"/>
      <c r="DZ21" s="265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65"/>
      <c r="GY21" s="256"/>
      <c r="GZ21" s="256"/>
      <c r="HA21" s="256"/>
      <c r="HB21" s="256"/>
      <c r="HC21" s="256"/>
      <c r="HD21" s="256"/>
      <c r="HE21" s="256"/>
      <c r="HF21" s="465"/>
      <c r="HG21" s="465"/>
      <c r="HH21" s="465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  <c r="IB21" s="256"/>
      <c r="IC21" s="256"/>
      <c r="ID21" s="256"/>
      <c r="IE21" s="256"/>
      <c r="IF21" s="256"/>
      <c r="IG21" s="256"/>
      <c r="IH21" s="256"/>
      <c r="II21" s="256"/>
      <c r="IJ21" s="256"/>
      <c r="IK21" s="256"/>
      <c r="IL21" s="256"/>
      <c r="IM21" s="256"/>
      <c r="IN21" s="256"/>
      <c r="IO21" s="256"/>
      <c r="IP21" s="256"/>
      <c r="IQ21" s="256"/>
      <c r="IR21" s="256"/>
      <c r="IS21" s="256"/>
      <c r="IT21" s="256"/>
      <c r="IU21" s="256"/>
      <c r="IV21" s="256"/>
      <c r="IW21" s="256"/>
      <c r="IX21" s="256"/>
      <c r="IY21" s="256"/>
      <c r="IZ21" s="256"/>
      <c r="JA21" s="256"/>
    </row>
    <row r="22" spans="1:288" ht="18" hidden="1" customHeight="1" x14ac:dyDescent="0.25">
      <c r="A22" s="191"/>
      <c r="B22" s="192" t="s">
        <v>248</v>
      </c>
      <c r="C22" s="192" t="s">
        <v>130</v>
      </c>
      <c r="D22" s="192">
        <f>21+11</f>
        <v>32</v>
      </c>
      <c r="E22" s="192">
        <f t="shared" ref="E22:H23" si="61">21+11</f>
        <v>32</v>
      </c>
      <c r="F22" s="192">
        <f t="shared" si="61"/>
        <v>32</v>
      </c>
      <c r="G22" s="192">
        <f t="shared" si="61"/>
        <v>32</v>
      </c>
      <c r="H22" s="192">
        <f t="shared" si="61"/>
        <v>32</v>
      </c>
      <c r="I22" s="263"/>
      <c r="J22" s="263"/>
      <c r="K22" s="263"/>
      <c r="L22" s="264"/>
      <c r="M22" s="264"/>
      <c r="N22" s="264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56"/>
      <c r="CH22" s="256"/>
      <c r="CI22" s="256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65"/>
      <c r="DZ22" s="265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65"/>
      <c r="GY22" s="256"/>
      <c r="GZ22" s="256"/>
      <c r="HA22" s="256"/>
      <c r="HB22" s="256"/>
      <c r="HC22" s="256"/>
      <c r="HD22" s="256"/>
      <c r="HE22" s="256"/>
      <c r="HF22" s="465"/>
      <c r="HG22" s="465"/>
      <c r="HH22" s="465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  <c r="IB22" s="256"/>
      <c r="IC22" s="256"/>
      <c r="ID22" s="256"/>
      <c r="IE22" s="256"/>
      <c r="IF22" s="256"/>
      <c r="IG22" s="256"/>
      <c r="IH22" s="256"/>
      <c r="II22" s="256"/>
      <c r="IJ22" s="256"/>
      <c r="IK22" s="256"/>
      <c r="IL22" s="256"/>
      <c r="IM22" s="256"/>
      <c r="IN22" s="256"/>
      <c r="IO22" s="256"/>
      <c r="IP22" s="256"/>
      <c r="IQ22" s="256"/>
      <c r="IR22" s="256"/>
      <c r="IS22" s="256"/>
      <c r="IT22" s="256"/>
      <c r="IU22" s="256"/>
      <c r="IV22" s="256"/>
      <c r="IW22" s="256"/>
      <c r="IX22" s="256"/>
      <c r="IY22" s="256"/>
      <c r="IZ22" s="256"/>
      <c r="JA22" s="256"/>
    </row>
    <row r="23" spans="1:288" ht="13.95" hidden="1" customHeight="1" x14ac:dyDescent="0.25">
      <c r="A23" s="192"/>
      <c r="B23" s="192" t="s">
        <v>249</v>
      </c>
      <c r="C23" s="192" t="s">
        <v>130</v>
      </c>
      <c r="D23" s="192">
        <f>21+11</f>
        <v>32</v>
      </c>
      <c r="E23" s="192">
        <f t="shared" si="61"/>
        <v>32</v>
      </c>
      <c r="F23" s="192">
        <f t="shared" si="61"/>
        <v>32</v>
      </c>
      <c r="G23" s="192">
        <f t="shared" si="61"/>
        <v>32</v>
      </c>
      <c r="H23" s="192">
        <f t="shared" si="61"/>
        <v>32</v>
      </c>
      <c r="I23" s="263"/>
      <c r="J23" s="263"/>
      <c r="K23" s="263"/>
      <c r="L23" s="264">
        <f>J23</f>
        <v>0</v>
      </c>
      <c r="M23" s="264"/>
      <c r="N23" s="264">
        <f>L23</f>
        <v>0</v>
      </c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56"/>
      <c r="CH23" s="256"/>
      <c r="CI23" s="256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65"/>
      <c r="DZ23" s="265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65"/>
      <c r="GY23" s="256"/>
      <c r="GZ23" s="256"/>
      <c r="HA23" s="256"/>
      <c r="HB23" s="256"/>
      <c r="HC23" s="256"/>
      <c r="HD23" s="256"/>
      <c r="HE23" s="256"/>
      <c r="HF23" s="465"/>
      <c r="HG23" s="465"/>
      <c r="HH23" s="465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  <c r="IX23" s="256"/>
      <c r="IY23" s="256"/>
      <c r="IZ23" s="256"/>
      <c r="JA23" s="256"/>
    </row>
    <row r="24" spans="1:288" ht="23.4" customHeight="1" x14ac:dyDescent="0.25">
      <c r="A24" s="921" t="s">
        <v>250</v>
      </c>
      <c r="B24" s="922"/>
      <c r="C24" s="923"/>
      <c r="D24" s="192"/>
      <c r="E24" s="192"/>
      <c r="F24" s="192"/>
      <c r="G24" s="192"/>
      <c r="H24" s="192"/>
      <c r="I24" s="263"/>
      <c r="J24" s="226">
        <f>J17+J19</f>
        <v>63755588.186691202</v>
      </c>
      <c r="K24" s="226"/>
      <c r="L24" s="266">
        <f>L17+L19</f>
        <v>56558460.001984</v>
      </c>
      <c r="M24" s="226"/>
      <c r="N24" s="266">
        <f>N17+N19</f>
        <v>56558460.001984</v>
      </c>
      <c r="O24" s="267"/>
      <c r="P24" s="267"/>
      <c r="Q24" s="267"/>
      <c r="R24" s="267"/>
      <c r="S24" s="267"/>
      <c r="T24" s="267"/>
      <c r="U24" s="267"/>
      <c r="V24" s="267"/>
      <c r="W24" s="501">
        <v>63755588.189999998</v>
      </c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716"/>
      <c r="CH24" s="501"/>
      <c r="CI24" s="501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501"/>
      <c r="DA24" s="501"/>
      <c r="DB24" s="501"/>
      <c r="DC24" s="501"/>
      <c r="DD24" s="501"/>
      <c r="DE24" s="501"/>
      <c r="DF24" s="501"/>
      <c r="DG24" s="501"/>
      <c r="DH24" s="501"/>
      <c r="DI24" s="215"/>
      <c r="DJ24" s="215"/>
      <c r="DK24" s="215"/>
      <c r="DL24" s="501"/>
      <c r="DM24" s="501"/>
      <c r="DN24" s="501"/>
      <c r="DO24" s="501"/>
      <c r="DP24" s="519" t="s">
        <v>381</v>
      </c>
      <c r="DQ24" s="519" t="e">
        <f>DQ19+DR17</f>
        <v>#REF!</v>
      </c>
      <c r="DR24" s="501"/>
      <c r="DS24" s="501"/>
      <c r="DT24" s="501"/>
      <c r="DU24" s="501"/>
      <c r="DV24" s="501"/>
      <c r="DW24" s="501"/>
      <c r="DX24" s="501"/>
      <c r="DY24" s="267"/>
      <c r="DZ24" s="253"/>
      <c r="EA24" s="501"/>
      <c r="EB24" s="501"/>
      <c r="EC24" s="215"/>
      <c r="ED24" s="215"/>
      <c r="EE24" s="501"/>
      <c r="EF24" s="501"/>
      <c r="EG24" s="501"/>
      <c r="EH24" s="501"/>
      <c r="EI24" s="501"/>
      <c r="EJ24" s="501"/>
      <c r="EK24" s="501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 t="s">
        <v>424</v>
      </c>
      <c r="FP24" s="215" t="s">
        <v>425</v>
      </c>
      <c r="FQ24" s="215"/>
      <c r="FR24" s="215" t="s">
        <v>426</v>
      </c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501"/>
      <c r="GT24" s="501"/>
      <c r="GU24" s="501"/>
      <c r="GV24" s="501"/>
      <c r="GW24" s="501"/>
      <c r="GX24" s="267"/>
      <c r="GY24" s="459"/>
      <c r="GZ24" s="460" t="e">
        <f>#REF!+GZ19</f>
        <v>#REF!</v>
      </c>
      <c r="HA24" s="460" t="e">
        <f>#REF!+HA19</f>
        <v>#REF!</v>
      </c>
      <c r="HB24" s="270"/>
      <c r="HC24" s="270"/>
      <c r="HD24" s="176" t="s">
        <v>323</v>
      </c>
      <c r="HE24" s="176" t="e">
        <f>HD18-HE18</f>
        <v>#REF!</v>
      </c>
      <c r="HF24" s="465" t="s">
        <v>325</v>
      </c>
      <c r="HG24" s="466">
        <v>2088</v>
      </c>
      <c r="HH24" s="466">
        <v>2088</v>
      </c>
      <c r="HI24" s="454"/>
      <c r="HJ24" s="270"/>
      <c r="HK24" s="270"/>
      <c r="HL24" s="270"/>
      <c r="HM24" s="270"/>
      <c r="HN24" s="270"/>
      <c r="HO24" s="270"/>
      <c r="HP24" s="270"/>
      <c r="HQ24" s="270"/>
      <c r="HR24" s="268"/>
      <c r="HS24" s="268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  <c r="IW24" s="270"/>
      <c r="IX24" s="270"/>
      <c r="IY24" s="270"/>
      <c r="IZ24" s="270"/>
      <c r="JA24" s="270"/>
      <c r="JB24" s="25"/>
      <c r="JE24" s="209">
        <v>37024596.810000002</v>
      </c>
      <c r="JF24" s="210"/>
      <c r="JG24" s="209">
        <v>37571922.359999999</v>
      </c>
      <c r="JH24" s="210"/>
      <c r="JI24" s="236">
        <v>39305388.359999999</v>
      </c>
      <c r="JJ24" s="251">
        <v>37024600</v>
      </c>
      <c r="JK24" s="210"/>
      <c r="JL24" s="210"/>
      <c r="JM24" s="210"/>
      <c r="JN24" s="210"/>
      <c r="JO24" s="210"/>
    </row>
    <row r="25" spans="1:288" ht="14.4" customHeight="1" x14ac:dyDescent="0.25">
      <c r="J25" s="25"/>
      <c r="K25" s="25"/>
      <c r="CG25" s="249"/>
      <c r="CH25" s="257"/>
      <c r="CI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  <c r="DQ25" s="490" t="e">
        <f>DQ18+#REF!+DW17</f>
        <v>#REF!</v>
      </c>
      <c r="DR25" s="258"/>
      <c r="DS25" s="258"/>
      <c r="DT25" s="258"/>
      <c r="DU25" s="258"/>
      <c r="DV25" s="258"/>
      <c r="DW25" s="258"/>
      <c r="DX25" s="258"/>
      <c r="EA25" s="258"/>
      <c r="EB25" s="258"/>
      <c r="EC25" s="258"/>
      <c r="ED25" s="490"/>
      <c r="EE25" s="258"/>
      <c r="EF25" s="258"/>
      <c r="EG25" s="258"/>
      <c r="EH25" s="258"/>
      <c r="EI25" s="258"/>
      <c r="EJ25" s="258"/>
      <c r="EK25" s="258"/>
      <c r="EL25" s="258"/>
      <c r="EM25" s="258"/>
      <c r="EN25" s="258"/>
      <c r="EO25" s="258"/>
      <c r="EP25" s="258"/>
      <c r="EQ25" s="258"/>
      <c r="ER25" s="258"/>
      <c r="ES25" s="258"/>
      <c r="ET25" s="258"/>
      <c r="EU25" s="258"/>
      <c r="EV25" s="258"/>
      <c r="EW25" s="258"/>
      <c r="EX25" s="258"/>
      <c r="EY25" s="258"/>
      <c r="EZ25" s="258"/>
      <c r="FA25" s="258"/>
      <c r="FB25" s="258"/>
      <c r="FC25" s="258"/>
      <c r="FD25" s="258"/>
      <c r="FE25" s="258"/>
      <c r="FF25" s="258"/>
      <c r="FG25" s="258"/>
      <c r="FH25" s="258"/>
      <c r="FI25" s="258"/>
      <c r="FJ25" s="258"/>
      <c r="FK25" s="258"/>
      <c r="FL25" s="258"/>
      <c r="FM25" s="258"/>
      <c r="FN25" s="258"/>
      <c r="FO25" s="257">
        <v>45830885.5</v>
      </c>
      <c r="FP25" s="257">
        <v>40412500</v>
      </c>
      <c r="FQ25" s="257">
        <f>FO25-FP25</f>
        <v>5418385.5</v>
      </c>
      <c r="FR25" s="180">
        <v>104880</v>
      </c>
      <c r="FS25" s="258">
        <f>FQ25/FR25</f>
        <v>51.662714530892451</v>
      </c>
      <c r="FT25" s="258"/>
      <c r="FU25" s="258"/>
      <c r="FV25" s="258"/>
      <c r="FW25" s="258"/>
      <c r="FX25" s="258"/>
      <c r="FY25" s="258"/>
      <c r="FZ25" s="258"/>
      <c r="GA25" s="258"/>
      <c r="GB25" s="258"/>
      <c r="GC25" s="258"/>
      <c r="GD25" s="258"/>
      <c r="GE25" s="258"/>
      <c r="GF25" s="258"/>
      <c r="GG25" s="258"/>
      <c r="GH25" s="258"/>
      <c r="GI25" s="258"/>
      <c r="GJ25" s="258"/>
      <c r="GK25" s="258"/>
      <c r="GL25" s="258"/>
      <c r="GM25" s="258"/>
      <c r="GN25" s="258"/>
      <c r="GO25" s="258"/>
      <c r="GP25" s="258"/>
      <c r="GQ25" s="258"/>
      <c r="GR25" s="258"/>
      <c r="GS25" s="258"/>
      <c r="GT25" s="258"/>
      <c r="GU25" s="258"/>
      <c r="GV25" s="258"/>
      <c r="GW25" s="258"/>
      <c r="HB25" s="258"/>
      <c r="HD25" s="271"/>
      <c r="HE25" s="271"/>
      <c r="HF25" s="467" t="s">
        <v>326</v>
      </c>
      <c r="HG25" s="468">
        <v>4320</v>
      </c>
      <c r="HH25" s="468">
        <v>3384</v>
      </c>
      <c r="HI25" s="455"/>
      <c r="HJ25" s="271"/>
      <c r="HK25" s="271"/>
      <c r="HL25" s="271"/>
      <c r="HM25" s="271"/>
      <c r="HN25" s="271"/>
      <c r="HO25" s="271"/>
      <c r="HP25" s="271"/>
      <c r="HQ25" s="271"/>
      <c r="HR25" s="271" t="s">
        <v>213</v>
      </c>
      <c r="HS25" s="271" t="s">
        <v>214</v>
      </c>
      <c r="HT25" s="271" t="s">
        <v>215</v>
      </c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  <c r="IW25" s="271"/>
      <c r="IX25" s="271"/>
      <c r="IY25" s="271"/>
      <c r="IZ25" s="271"/>
      <c r="JA25" s="207"/>
      <c r="JH25" s="272" t="s">
        <v>239</v>
      </c>
      <c r="JI25" s="210">
        <v>8889750.3599999994</v>
      </c>
      <c r="JJ25" s="210">
        <v>0</v>
      </c>
    </row>
    <row r="26" spans="1:288" ht="12" customHeight="1" x14ac:dyDescent="0.25">
      <c r="D26" s="30"/>
      <c r="G26" s="30"/>
      <c r="H26" s="30"/>
      <c r="J26" s="25"/>
      <c r="K26" s="25"/>
      <c r="BS26" s="258"/>
      <c r="BT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FO26" s="257"/>
      <c r="HB26" s="258"/>
      <c r="HC26" s="258"/>
      <c r="HD26" s="215">
        <v>10745500</v>
      </c>
      <c r="HE26" s="163"/>
      <c r="HF26" s="469"/>
      <c r="HG26" s="470">
        <f>SUM(HG24:HG25)</f>
        <v>6408</v>
      </c>
      <c r="HH26" s="470">
        <f>SUM(HH24:HH25)</f>
        <v>5472</v>
      </c>
      <c r="HI26" s="275"/>
      <c r="HJ26" s="275"/>
      <c r="HK26" s="275"/>
      <c r="HL26" s="275"/>
      <c r="HM26" s="275"/>
      <c r="HN26" s="275"/>
      <c r="HO26" s="275"/>
      <c r="HP26" s="275"/>
      <c r="HQ26" s="275"/>
      <c r="HR26" s="274" t="s">
        <v>253</v>
      </c>
      <c r="HS26" s="274" t="s">
        <v>253</v>
      </c>
      <c r="HT26" s="274" t="s">
        <v>253</v>
      </c>
      <c r="HU26" s="275"/>
      <c r="HV26" s="275"/>
      <c r="HW26" s="275"/>
      <c r="HX26" s="275"/>
      <c r="HY26" s="275"/>
      <c r="HZ26" s="275"/>
      <c r="IA26" s="275"/>
      <c r="IB26" s="275"/>
      <c r="IC26" s="275"/>
      <c r="ID26" s="275"/>
      <c r="IE26" s="275"/>
      <c r="IF26" s="275"/>
      <c r="IG26" s="275"/>
      <c r="IH26" s="275"/>
      <c r="II26" s="275"/>
      <c r="IJ26" s="275"/>
      <c r="IK26" s="275"/>
      <c r="IL26" s="275"/>
      <c r="IM26" s="275"/>
      <c r="IN26" s="275"/>
      <c r="IO26" s="275"/>
      <c r="IP26" s="275"/>
      <c r="IQ26" s="275"/>
      <c r="IR26" s="275"/>
      <c r="IS26" s="275"/>
      <c r="IT26" s="275"/>
      <c r="IU26" s="275"/>
      <c r="IV26" s="275"/>
      <c r="IW26" s="275"/>
      <c r="IX26" s="275"/>
      <c r="IY26" s="275"/>
      <c r="IZ26" s="275"/>
      <c r="JH26" s="272" t="s">
        <v>254</v>
      </c>
      <c r="JI26" s="210">
        <v>4943157.2</v>
      </c>
      <c r="JJ26" s="210">
        <v>4943157.2</v>
      </c>
    </row>
    <row r="27" spans="1:288" ht="16.2" customHeight="1" x14ac:dyDescent="0.25">
      <c r="J27" s="25"/>
      <c r="K27" s="2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477"/>
      <c r="BT27" s="477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477"/>
      <c r="DA27" s="477"/>
      <c r="DB27" s="477"/>
      <c r="DC27" s="477"/>
      <c r="DD27" s="477"/>
      <c r="DE27" s="477"/>
      <c r="DF27" s="477"/>
      <c r="DG27" s="477"/>
      <c r="DH27" s="477"/>
      <c r="DI27" s="258"/>
      <c r="DJ27" s="258"/>
      <c r="DK27" s="258"/>
      <c r="DL27" s="477"/>
      <c r="DM27" s="477"/>
      <c r="DN27" s="477"/>
      <c r="DO27" s="477"/>
      <c r="DP27" s="477"/>
      <c r="DQ27" s="477"/>
      <c r="DR27" s="477"/>
      <c r="DS27" s="477"/>
      <c r="DT27" s="477"/>
      <c r="DU27" s="477"/>
      <c r="DV27" s="477"/>
      <c r="DW27" s="477"/>
      <c r="DX27" s="477"/>
      <c r="DY27" s="2"/>
      <c r="EF27" s="2"/>
      <c r="EG27" s="2"/>
      <c r="EH27" s="2"/>
      <c r="EI27" s="2"/>
      <c r="EJ27" s="2"/>
      <c r="EK27" s="2"/>
      <c r="FO27" s="257"/>
      <c r="GS27" s="2"/>
      <c r="GT27" s="2"/>
      <c r="GZ27" s="258"/>
      <c r="HA27" s="258"/>
      <c r="HB27" s="258"/>
      <c r="HC27" s="258"/>
      <c r="HD27" s="215">
        <v>4334708.4000000004</v>
      </c>
      <c r="HE27" s="215"/>
      <c r="HF27" s="215"/>
      <c r="HG27" s="464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6">
        <v>31653700</v>
      </c>
      <c r="HS27" s="276">
        <v>31632000</v>
      </c>
      <c r="HT27" s="276">
        <v>31632000</v>
      </c>
      <c r="HU27" s="277" t="s">
        <v>255</v>
      </c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  <c r="IW27" s="278"/>
      <c r="IX27" s="278"/>
      <c r="IY27" s="278"/>
      <c r="IZ27" s="278"/>
      <c r="JA27" s="2"/>
      <c r="JH27" s="279" t="s">
        <v>256</v>
      </c>
      <c r="JI27" s="280">
        <f>JI24-JI25-JI26</f>
        <v>25472480.800000001</v>
      </c>
      <c r="JJ27" s="271">
        <f>JJ24-JJ25-JJ26</f>
        <v>32081442.800000001</v>
      </c>
      <c r="JK27" s="257">
        <f>JJ27-JI27</f>
        <v>6608962</v>
      </c>
      <c r="JL27" s="257"/>
      <c r="JM27" s="257"/>
      <c r="JN27" s="257"/>
    </row>
    <row r="28" spans="1:288" x14ac:dyDescent="0.25">
      <c r="A28" s="1" t="s">
        <v>258</v>
      </c>
      <c r="J28" s="257"/>
      <c r="K28" s="257"/>
      <c r="BS28" s="668"/>
      <c r="BT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GZ28" s="258"/>
      <c r="HA28" s="258"/>
      <c r="HB28" s="258"/>
      <c r="HC28" s="258"/>
      <c r="HD28" s="463">
        <f>SUM(HD26:HD27)</f>
        <v>15080208.4</v>
      </c>
      <c r="HE28" s="249" t="e">
        <f>HD28/#REF!</f>
        <v>#REF!</v>
      </c>
      <c r="HF28" s="249" t="s">
        <v>329</v>
      </c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10"/>
      <c r="HS28" s="210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  <c r="IW28" s="248"/>
      <c r="IX28" s="248"/>
      <c r="IY28" s="248"/>
      <c r="IZ28" s="248"/>
      <c r="JB28" s="25"/>
      <c r="JI28" s="258"/>
      <c r="JJ28" s="257"/>
      <c r="JK28" s="283">
        <f>JK27/6</f>
        <v>1101493.6666666667</v>
      </c>
      <c r="JL28" s="283"/>
      <c r="JM28" s="283"/>
      <c r="JN28" s="284"/>
    </row>
    <row r="29" spans="1:288" ht="16.2" customHeight="1" x14ac:dyDescent="0.25">
      <c r="A29" s="1" t="s">
        <v>77</v>
      </c>
      <c r="J29" s="25"/>
      <c r="K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02" t="e">
        <f>#REF!</f>
        <v>#REF!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491"/>
      <c r="BT29" s="257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Z29" s="258"/>
      <c r="HA29" s="258"/>
      <c r="HB29" s="258"/>
      <c r="HC29" s="258"/>
      <c r="HD29" s="249"/>
      <c r="HE29" s="249"/>
      <c r="HF29" s="249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57">
        <f>HO29-HN29</f>
        <v>0</v>
      </c>
      <c r="HS29" s="249">
        <f>HR29/6</f>
        <v>0</v>
      </c>
      <c r="HT29" s="249">
        <v>10487860.560000001</v>
      </c>
      <c r="HU29" s="249">
        <f>(HO29-HT29)/6</f>
        <v>-1747976.76</v>
      </c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  <c r="IW29" s="248"/>
      <c r="IX29" s="248"/>
      <c r="IY29" s="248"/>
      <c r="IZ29" s="248"/>
      <c r="JA29" s="25"/>
      <c r="JB29" s="25"/>
      <c r="JI29" s="180" t="s">
        <v>244</v>
      </c>
    </row>
    <row r="30" spans="1:288" ht="14.4" customHeight="1" x14ac:dyDescent="0.25"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02">
        <f>AU18</f>
        <v>767455.34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Z30" s="258"/>
      <c r="HA30" s="258"/>
      <c r="HB30" s="258"/>
      <c r="HC30" s="258">
        <v>14349678.640000001</v>
      </c>
      <c r="HD30" s="249" t="e">
        <f>#REF!</f>
        <v>#REF!</v>
      </c>
      <c r="HE30" s="249"/>
      <c r="HF30" s="249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58"/>
      <c r="HS30" s="248"/>
      <c r="HT30" s="286">
        <v>10488531.6</v>
      </c>
      <c r="HU30" s="286">
        <f>(HO29-HT30)/6</f>
        <v>-1748088.5999999999</v>
      </c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  <c r="IW30" s="248"/>
      <c r="IX30" s="248"/>
      <c r="IY30" s="248"/>
      <c r="IZ30" s="248"/>
      <c r="JA30" s="25"/>
      <c r="JI30" s="287" t="s">
        <v>261</v>
      </c>
    </row>
    <row r="31" spans="1:288" hidden="1" x14ac:dyDescent="0.25">
      <c r="J31" s="25"/>
      <c r="K31" s="25"/>
      <c r="L31" s="25">
        <f>35157010-1681098</f>
        <v>33475912</v>
      </c>
      <c r="M31" s="36"/>
      <c r="N31" s="36">
        <f>38356010-1834064</f>
        <v>36521946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Z31" s="258"/>
      <c r="HA31" s="258"/>
      <c r="HB31" s="258"/>
      <c r="HC31" s="257">
        <f>HD28-HC30</f>
        <v>730529.75999999978</v>
      </c>
      <c r="HD31" s="271" t="e">
        <f>HD28-HD30</f>
        <v>#REF!</v>
      </c>
      <c r="HE31" s="455" t="e">
        <f>HD31/HG26</f>
        <v>#REF!</v>
      </c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57"/>
      <c r="HS31" s="271" t="s">
        <v>213</v>
      </c>
      <c r="HT31" s="271" t="s">
        <v>214</v>
      </c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  <c r="IW31" s="271"/>
      <c r="IX31" s="271"/>
      <c r="IY31" s="271"/>
      <c r="IZ31" s="271"/>
      <c r="JA31" s="25"/>
      <c r="JI31" s="236">
        <v>39373588.359999999</v>
      </c>
    </row>
    <row r="32" spans="1:288" ht="16.95" hidden="1" customHeight="1" x14ac:dyDescent="0.25">
      <c r="J32" s="25"/>
      <c r="K32" s="25"/>
      <c r="M32" s="257"/>
      <c r="N32" s="257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GZ32" s="258"/>
      <c r="HA32" s="258"/>
      <c r="HB32" s="258"/>
      <c r="HC32" s="258" t="e">
        <f>HC31/#REF!</f>
        <v>#REF!</v>
      </c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291" t="s">
        <v>262</v>
      </c>
      <c r="HS32" s="292" t="s">
        <v>263</v>
      </c>
      <c r="HT32" s="292" t="s">
        <v>263</v>
      </c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  <c r="IG32" s="163"/>
      <c r="IH32" s="163"/>
      <c r="II32" s="163"/>
      <c r="IJ32" s="163"/>
      <c r="IK32" s="163"/>
      <c r="IL32" s="163"/>
      <c r="IM32" s="163"/>
      <c r="IN32" s="163"/>
      <c r="IO32" s="163"/>
      <c r="IP32" s="163"/>
      <c r="IQ32" s="163"/>
      <c r="IR32" s="163"/>
      <c r="IS32" s="163"/>
      <c r="IT32" s="163"/>
      <c r="IU32" s="163"/>
      <c r="IV32" s="163"/>
      <c r="IW32" s="163"/>
      <c r="IX32" s="163"/>
      <c r="IY32" s="163"/>
      <c r="IZ32" s="163"/>
      <c r="JA32" s="258"/>
      <c r="JH32" s="293" t="s">
        <v>256</v>
      </c>
      <c r="JI32" s="294">
        <f>JI31-JI25-JI26</f>
        <v>25540680.800000001</v>
      </c>
    </row>
    <row r="33" spans="10:269" ht="20.399999999999999" hidden="1" x14ac:dyDescent="0.25">
      <c r="J33" s="25"/>
      <c r="K33" s="25"/>
      <c r="L33" s="25" t="e">
        <f>L31-#REF!</f>
        <v>#REF!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Z33" s="258"/>
      <c r="HA33" s="258"/>
      <c r="HB33" s="258"/>
      <c r="HC33" s="258"/>
      <c r="HD33" s="215"/>
      <c r="HE33" s="215"/>
      <c r="HF33" s="215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5" t="s">
        <v>264</v>
      </c>
      <c r="HS33" s="226">
        <v>40655653.119999997</v>
      </c>
      <c r="HT33" s="226">
        <v>40655653.119999997</v>
      </c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  <c r="IW33" s="296"/>
      <c r="IX33" s="296"/>
      <c r="IY33" s="296"/>
      <c r="IZ33" s="296"/>
      <c r="JA33" s="25"/>
      <c r="JI33" s="170" t="s">
        <v>265</v>
      </c>
    </row>
    <row r="34" spans="10:269" x14ac:dyDescent="0.25"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28" t="e">
        <f>BH17+BH29+BH30</f>
        <v>#REF!</v>
      </c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Z34" s="258"/>
      <c r="HA34" s="258"/>
      <c r="HB34" s="258"/>
      <c r="HC34" s="258"/>
      <c r="HD34" s="249"/>
      <c r="HE34" s="249"/>
      <c r="HF34" s="249"/>
      <c r="HG34" s="249"/>
      <c r="HH34" s="249"/>
      <c r="HI34" s="249"/>
      <c r="HJ34" s="249"/>
      <c r="HK34" s="249"/>
      <c r="HL34" s="249"/>
      <c r="HM34" s="249"/>
      <c r="HN34" s="249"/>
      <c r="HO34" s="249"/>
      <c r="HP34" s="249"/>
      <c r="HQ34" s="249"/>
      <c r="HR34" s="297" t="s">
        <v>266</v>
      </c>
      <c r="HS34" s="298">
        <v>29475253.120000001</v>
      </c>
      <c r="HT34" s="298">
        <v>29475253.120000001</v>
      </c>
      <c r="HU34" s="249"/>
      <c r="HV34" s="249"/>
      <c r="HW34" s="249"/>
      <c r="HX34" s="249"/>
      <c r="HY34" s="249"/>
      <c r="HZ34" s="249"/>
      <c r="IA34" s="249"/>
      <c r="IB34" s="249"/>
      <c r="IC34" s="249"/>
      <c r="ID34" s="249"/>
      <c r="IE34" s="249"/>
      <c r="IF34" s="249"/>
      <c r="IG34" s="249"/>
      <c r="IH34" s="249"/>
      <c r="II34" s="249"/>
      <c r="IJ34" s="249"/>
      <c r="IK34" s="249"/>
      <c r="IL34" s="249"/>
      <c r="IM34" s="249"/>
      <c r="IN34" s="249"/>
      <c r="IO34" s="249"/>
      <c r="IP34" s="249"/>
      <c r="IQ34" s="249"/>
      <c r="IR34" s="249"/>
      <c r="IS34" s="249"/>
      <c r="IT34" s="249"/>
      <c r="IU34" s="249"/>
      <c r="IV34" s="249"/>
      <c r="IW34" s="249"/>
      <c r="IX34" s="249"/>
      <c r="IY34" s="249"/>
      <c r="IZ34" s="249"/>
      <c r="JA34" s="25"/>
      <c r="JI34" s="299">
        <v>39423588.359999999</v>
      </c>
    </row>
    <row r="35" spans="10:269" x14ac:dyDescent="0.25"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Z35" s="258"/>
      <c r="HA35" s="258"/>
      <c r="HB35" s="258"/>
      <c r="HC35" s="258"/>
      <c r="HD35" s="249"/>
      <c r="HE35" s="249"/>
      <c r="HF35" s="249"/>
      <c r="HG35" s="249"/>
      <c r="HH35" s="249"/>
      <c r="HI35" s="249"/>
      <c r="HJ35" s="249"/>
      <c r="HK35" s="249"/>
      <c r="HL35" s="249"/>
      <c r="HM35" s="249"/>
      <c r="HN35" s="249"/>
      <c r="HO35" s="249"/>
      <c r="HP35" s="249"/>
      <c r="HQ35" s="249"/>
      <c r="HR35" s="297" t="s">
        <v>267</v>
      </c>
      <c r="HS35" s="298">
        <v>4916897.38</v>
      </c>
      <c r="HT35" s="298">
        <v>4916897.38</v>
      </c>
      <c r="HU35" s="249"/>
      <c r="HV35" s="249"/>
      <c r="HW35" s="249"/>
      <c r="HX35" s="249"/>
      <c r="HY35" s="249"/>
      <c r="HZ35" s="249"/>
      <c r="IA35" s="249"/>
      <c r="IB35" s="249"/>
      <c r="IC35" s="249"/>
      <c r="ID35" s="249"/>
      <c r="IE35" s="249"/>
      <c r="IF35" s="249"/>
      <c r="IG35" s="249"/>
      <c r="IH35" s="249"/>
      <c r="II35" s="249"/>
      <c r="IJ35" s="249"/>
      <c r="IK35" s="249"/>
      <c r="IL35" s="249"/>
      <c r="IM35" s="249"/>
      <c r="IN35" s="249"/>
      <c r="IO35" s="249"/>
      <c r="IP35" s="249"/>
      <c r="IQ35" s="249"/>
      <c r="IR35" s="249"/>
      <c r="IS35" s="249"/>
      <c r="IT35" s="249"/>
      <c r="IU35" s="249"/>
      <c r="IV35" s="249"/>
      <c r="IW35" s="249"/>
      <c r="IX35" s="249"/>
      <c r="IY35" s="249"/>
      <c r="IZ35" s="249"/>
      <c r="JA35" s="25"/>
      <c r="JH35" s="300" t="s">
        <v>256</v>
      </c>
      <c r="JI35" s="301">
        <f>JI34-JI25-JI26</f>
        <v>25590680.800000001</v>
      </c>
    </row>
    <row r="36" spans="10:269" x14ac:dyDescent="0.25"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Z36" s="258"/>
      <c r="HA36" s="258"/>
      <c r="HB36" s="258"/>
      <c r="HC36" s="258"/>
      <c r="HD36" s="271"/>
      <c r="HE36" s="271"/>
      <c r="HF36" s="271"/>
      <c r="HG36" s="271"/>
      <c r="HH36" s="271"/>
      <c r="HI36" s="271"/>
      <c r="HJ36" s="271"/>
      <c r="HK36" s="271"/>
      <c r="HL36" s="271"/>
      <c r="HM36" s="271"/>
      <c r="HN36" s="271"/>
      <c r="HO36" s="271"/>
      <c r="HP36" s="271"/>
      <c r="HQ36" s="271"/>
      <c r="HR36" s="303" t="s">
        <v>269</v>
      </c>
      <c r="HS36" s="304">
        <f>HS34-HS35</f>
        <v>24558355.740000002</v>
      </c>
      <c r="HT36" s="304">
        <f>HT34-HT35</f>
        <v>24558355.740000002</v>
      </c>
      <c r="HU36" s="271"/>
      <c r="HV36" s="271"/>
      <c r="HW36" s="271"/>
      <c r="HX36" s="271"/>
      <c r="HY36" s="271"/>
      <c r="HZ36" s="271"/>
      <c r="IA36" s="271"/>
      <c r="IB36" s="271"/>
      <c r="IC36" s="271"/>
      <c r="ID36" s="271"/>
      <c r="IE36" s="271"/>
      <c r="IF36" s="271"/>
      <c r="IG36" s="271"/>
      <c r="IH36" s="271"/>
      <c r="II36" s="271"/>
      <c r="IJ36" s="271"/>
      <c r="IK36" s="271"/>
      <c r="IL36" s="271"/>
      <c r="IM36" s="271"/>
      <c r="IN36" s="271"/>
      <c r="IO36" s="271"/>
      <c r="IP36" s="271"/>
      <c r="IQ36" s="271"/>
      <c r="IR36" s="271"/>
      <c r="IS36" s="271"/>
      <c r="IT36" s="271"/>
      <c r="IU36" s="271"/>
      <c r="IV36" s="271"/>
      <c r="IW36" s="271"/>
      <c r="IX36" s="271"/>
      <c r="IY36" s="271"/>
      <c r="IZ36" s="271"/>
      <c r="JA36" s="25"/>
    </row>
    <row r="37" spans="10:269" x14ac:dyDescent="0.25"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Z37" s="258"/>
      <c r="HA37" s="258"/>
      <c r="HB37" s="258"/>
      <c r="HC37" s="258"/>
      <c r="HD37" s="249"/>
      <c r="HE37" s="249"/>
      <c r="HF37" s="249"/>
      <c r="HG37" s="249"/>
      <c r="HH37" s="249"/>
      <c r="HI37" s="249"/>
      <c r="HJ37" s="249"/>
      <c r="HK37" s="249"/>
      <c r="HL37" s="249"/>
      <c r="HM37" s="249"/>
      <c r="HN37" s="249"/>
      <c r="HO37" s="249"/>
      <c r="HP37" s="249"/>
      <c r="HQ37" s="249"/>
      <c r="HR37" s="303" t="s">
        <v>271</v>
      </c>
      <c r="HS37" s="298">
        <v>11180400</v>
      </c>
      <c r="HT37" s="298">
        <v>11180400</v>
      </c>
      <c r="HU37" s="249" t="e">
        <f>HS37-#REF!</f>
        <v>#REF!</v>
      </c>
      <c r="HV37" s="249"/>
      <c r="HW37" s="249"/>
      <c r="HX37" s="249"/>
      <c r="HY37" s="249"/>
      <c r="HZ37" s="249"/>
      <c r="IA37" s="249"/>
      <c r="IB37" s="249"/>
      <c r="IC37" s="249"/>
      <c r="ID37" s="249"/>
      <c r="IE37" s="249"/>
      <c r="IF37" s="249"/>
      <c r="IG37" s="249"/>
      <c r="IH37" s="249"/>
      <c r="II37" s="249"/>
      <c r="IJ37" s="249"/>
      <c r="IK37" s="249"/>
      <c r="IL37" s="249"/>
      <c r="IM37" s="249"/>
      <c r="IN37" s="249"/>
      <c r="IO37" s="249"/>
      <c r="IP37" s="249"/>
      <c r="IQ37" s="249"/>
      <c r="IR37" s="249"/>
      <c r="IS37" s="249"/>
      <c r="IT37" s="249"/>
      <c r="IU37" s="249"/>
      <c r="IV37" s="249"/>
      <c r="IW37" s="249"/>
      <c r="IX37" s="249"/>
      <c r="IY37" s="249"/>
      <c r="IZ37" s="249"/>
      <c r="JA37" s="25"/>
    </row>
    <row r="38" spans="10:269" x14ac:dyDescent="0.25"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Z38" s="258"/>
      <c r="HA38" s="258"/>
      <c r="HB38" s="258"/>
      <c r="HC38" s="258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5"/>
      <c r="HS38" s="249">
        <f>HS37+HS34</f>
        <v>40655653.120000005</v>
      </c>
      <c r="HT38" s="249">
        <f>HT37+HT34</f>
        <v>40655653.120000005</v>
      </c>
      <c r="HU38" s="305" t="e">
        <f>HU37/6</f>
        <v>#REF!</v>
      </c>
      <c r="HV38" s="249"/>
      <c r="HW38" s="249"/>
      <c r="HX38" s="249"/>
      <c r="HY38" s="249"/>
      <c r="HZ38" s="249"/>
      <c r="IA38" s="249"/>
      <c r="IB38" s="249"/>
      <c r="IC38" s="249"/>
      <c r="ID38" s="249"/>
      <c r="IE38" s="249"/>
      <c r="IF38" s="249"/>
      <c r="IG38" s="249"/>
      <c r="IH38" s="249"/>
      <c r="II38" s="249"/>
      <c r="IJ38" s="249"/>
      <c r="IK38" s="249"/>
      <c r="IL38" s="249"/>
      <c r="IM38" s="249"/>
      <c r="IN38" s="249"/>
      <c r="IO38" s="249"/>
      <c r="IP38" s="249"/>
      <c r="IQ38" s="249"/>
      <c r="IR38" s="249"/>
      <c r="IS38" s="249"/>
      <c r="IT38" s="249"/>
      <c r="IU38" s="249"/>
      <c r="IV38" s="249"/>
      <c r="IW38" s="249"/>
      <c r="IX38" s="249"/>
      <c r="IY38" s="249"/>
      <c r="IZ38" s="249"/>
      <c r="JA38" s="25"/>
    </row>
    <row r="39" spans="10:269" x14ac:dyDescent="0.25"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Z39" s="258"/>
      <c r="HA39" s="258"/>
      <c r="HB39" s="258"/>
      <c r="HC39" s="258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49"/>
      <c r="HQ39" s="249"/>
      <c r="HR39" s="25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9"/>
      <c r="IV39" s="249"/>
      <c r="IW39" s="249"/>
      <c r="IX39" s="249"/>
      <c r="IY39" s="249"/>
      <c r="IZ39" s="249"/>
      <c r="JA39" s="25"/>
    </row>
    <row r="40" spans="10:269" x14ac:dyDescent="0.25"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Z40" s="258"/>
      <c r="HA40" s="258"/>
      <c r="HB40" s="258"/>
      <c r="HC40" s="258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"/>
      <c r="HS40" s="257">
        <f>HS36-HS27</f>
        <v>-7073644.2599999979</v>
      </c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  <c r="IW40" s="257"/>
      <c r="IX40" s="257"/>
      <c r="IY40" s="257"/>
      <c r="IZ40" s="257"/>
      <c r="JA40" s="25"/>
    </row>
    <row r="41" spans="10:269" x14ac:dyDescent="0.25"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Z41" s="258"/>
      <c r="HA41" s="258"/>
      <c r="HB41" s="258"/>
      <c r="HC41" s="258"/>
      <c r="HD41" s="257"/>
      <c r="HE41" s="257"/>
      <c r="HF41" s="257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306" t="s">
        <v>273</v>
      </c>
      <c r="HS41" s="257">
        <f>HS40/6</f>
        <v>-1178940.7099999997</v>
      </c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</row>
    <row r="42" spans="10:269" x14ac:dyDescent="0.25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Z42" s="258"/>
      <c r="HA42" s="258"/>
      <c r="HB42" s="258"/>
      <c r="HC42" s="258"/>
      <c r="HD42" s="257"/>
      <c r="HE42" s="257"/>
      <c r="HF42" s="257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307">
        <v>1906883.33</v>
      </c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</row>
    <row r="43" spans="10:269" x14ac:dyDescent="0.25"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7"/>
      <c r="GV43" s="257"/>
      <c r="GW43" s="257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</row>
    <row r="44" spans="10:269" x14ac:dyDescent="0.25"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7"/>
      <c r="GV44" s="257"/>
      <c r="GW44" s="257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</row>
    <row r="45" spans="10:269" x14ac:dyDescent="0.25"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180"/>
      <c r="GV45" s="273" t="s">
        <v>251</v>
      </c>
      <c r="GW45" s="273" t="s">
        <v>252</v>
      </c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</row>
    <row r="46" spans="10:269" x14ac:dyDescent="0.25"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</row>
    <row r="47" spans="10:269" x14ac:dyDescent="0.25"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81" t="s">
        <v>257</v>
      </c>
      <c r="GV47" s="236">
        <v>42399200</v>
      </c>
      <c r="GW47" s="282">
        <f>GW48+GW49+GW50</f>
        <v>42119200</v>
      </c>
      <c r="GX47" s="210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</row>
    <row r="48" spans="10:269" ht="21" x14ac:dyDescent="0.25"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72" t="s">
        <v>239</v>
      </c>
      <c r="GV48" s="210">
        <v>10745500</v>
      </c>
      <c r="GW48" s="210">
        <v>10487200</v>
      </c>
      <c r="GX48" s="285" t="s">
        <v>259</v>
      </c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</row>
    <row r="49" spans="10:285" ht="30.6" x14ac:dyDescent="0.25"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72" t="s">
        <v>260</v>
      </c>
      <c r="GV49" s="210">
        <v>8330911.2800000003</v>
      </c>
      <c r="GW49" s="210">
        <v>8330911.2800000003</v>
      </c>
      <c r="GY49" s="25"/>
      <c r="GZ49" s="271" t="s">
        <v>213</v>
      </c>
      <c r="HA49" s="271" t="s">
        <v>214</v>
      </c>
      <c r="HB49" s="271" t="s">
        <v>215</v>
      </c>
      <c r="HC49" s="271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</row>
    <row r="50" spans="10:285" ht="57.6" x14ac:dyDescent="0.25"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79" t="s">
        <v>256</v>
      </c>
      <c r="GV50" s="280">
        <f>GV47-GV48-GV49</f>
        <v>23322788.719999999</v>
      </c>
      <c r="GW50" s="288">
        <f>GU58</f>
        <v>23301088.719999999</v>
      </c>
      <c r="GX50" s="257">
        <f>GW50-GV50</f>
        <v>-21700</v>
      </c>
      <c r="GY50" s="25"/>
      <c r="GZ50" s="274" t="s">
        <v>253</v>
      </c>
      <c r="HA50" s="274" t="s">
        <v>253</v>
      </c>
      <c r="HB50" s="274" t="s">
        <v>253</v>
      </c>
      <c r="HC50" s="27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</row>
    <row r="51" spans="10:285" s="2" customFormat="1" x14ac:dyDescent="0.25">
      <c r="J51" s="25"/>
      <c r="K51" s="25"/>
      <c r="DI51" s="1"/>
      <c r="DJ51" s="1"/>
      <c r="DK51" s="1"/>
      <c r="DZ51" s="1"/>
      <c r="EA51" s="1"/>
      <c r="EB51" s="1"/>
      <c r="EC51" s="1"/>
      <c r="ED51" s="1"/>
      <c r="EE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U51" s="1"/>
      <c r="GV51" s="258"/>
      <c r="GW51" s="289">
        <f>GX50/6</f>
        <v>-3616.6666666666665</v>
      </c>
      <c r="GX51" s="290">
        <f>GX50/6</f>
        <v>-3616.6666666666665</v>
      </c>
      <c r="GZ51" s="276">
        <v>31653700</v>
      </c>
      <c r="HA51" s="276">
        <v>31632000</v>
      </c>
      <c r="HB51" s="276">
        <v>31632000</v>
      </c>
      <c r="HC51" s="277" t="s">
        <v>255</v>
      </c>
      <c r="JN51" s="477"/>
      <c r="JO51" s="477"/>
      <c r="JP51" s="477"/>
      <c r="JQ51" s="477"/>
      <c r="JR51" s="477"/>
      <c r="JS51" s="477"/>
      <c r="JT51" s="477"/>
      <c r="JU51" s="477"/>
      <c r="JV51" s="477"/>
      <c r="JW51" s="477"/>
      <c r="JX51" s="477"/>
      <c r="JY51" s="477"/>
    </row>
    <row r="52" spans="10:285" s="2" customFormat="1" x14ac:dyDescent="0.25">
      <c r="J52" s="25"/>
      <c r="K52" s="2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25"/>
      <c r="DJ52" s="25"/>
      <c r="DK52" s="25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25"/>
      <c r="EA52" s="25"/>
      <c r="EB52" s="25"/>
      <c r="EC52" s="25"/>
      <c r="ED52" s="25"/>
      <c r="EE52" s="25"/>
      <c r="EF52" s="36"/>
      <c r="EG52" s="36"/>
      <c r="EH52" s="36"/>
      <c r="EI52" s="36"/>
      <c r="EJ52" s="36"/>
      <c r="EK52" s="36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36"/>
      <c r="GT52" s="36"/>
      <c r="GU52" s="1"/>
      <c r="GV52" s="257">
        <f>GV48-10199150</f>
        <v>546350</v>
      </c>
      <c r="GW52" s="249">
        <f>GW50-GW17</f>
        <v>23301088.719999999</v>
      </c>
      <c r="GX52" s="284"/>
      <c r="GY52" s="36"/>
      <c r="GZ52" s="210"/>
      <c r="HA52" s="210"/>
      <c r="HB52" s="248"/>
      <c r="HC52" s="248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N52" s="477"/>
      <c r="JO52" s="477"/>
      <c r="JP52" s="477"/>
      <c r="JQ52" s="477"/>
      <c r="JR52" s="477"/>
      <c r="JS52" s="477"/>
      <c r="JT52" s="477"/>
      <c r="JU52" s="477"/>
      <c r="JV52" s="477"/>
      <c r="JW52" s="477"/>
      <c r="JX52" s="477"/>
      <c r="JY52" s="477"/>
    </row>
    <row r="53" spans="10:285" s="2" customFormat="1" x14ac:dyDescent="0.25">
      <c r="J53" s="25"/>
      <c r="K53" s="2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25"/>
      <c r="DJ53" s="25"/>
      <c r="DK53" s="25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25"/>
      <c r="EA53" s="25"/>
      <c r="EB53" s="25"/>
      <c r="EC53" s="25"/>
      <c r="ED53" s="25"/>
      <c r="EE53" s="25"/>
      <c r="EF53" s="36"/>
      <c r="EG53" s="36"/>
      <c r="EH53" s="36"/>
      <c r="EI53" s="36"/>
      <c r="EJ53" s="36"/>
      <c r="EK53" s="36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36"/>
      <c r="GT53" s="36"/>
      <c r="GU53" s="1"/>
      <c r="GV53" s="258" t="e">
        <f>GV52/#REF!</f>
        <v>#REF!</v>
      </c>
      <c r="GW53" s="249">
        <f>12.24/6</f>
        <v>2.04</v>
      </c>
      <c r="GX53" s="1"/>
      <c r="GY53" s="36"/>
      <c r="GZ53" s="257">
        <f>GW48-GV48</f>
        <v>-258300</v>
      </c>
      <c r="HA53" s="249">
        <f>GZ53/6</f>
        <v>-43050</v>
      </c>
      <c r="HB53" s="249">
        <v>10487860.560000001</v>
      </c>
      <c r="HC53" s="249">
        <f>(GW48-HB53)/6</f>
        <v>-110.09333333342026</v>
      </c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N53" s="477"/>
      <c r="JO53" s="477"/>
      <c r="JP53" s="477"/>
      <c r="JQ53" s="477"/>
      <c r="JR53" s="477"/>
      <c r="JS53" s="477"/>
      <c r="JT53" s="477"/>
      <c r="JU53" s="477"/>
      <c r="JV53" s="477"/>
      <c r="JW53" s="477"/>
      <c r="JX53" s="477"/>
      <c r="JY53" s="477"/>
    </row>
    <row r="54" spans="10:285" s="2" customFormat="1" x14ac:dyDescent="0.25">
      <c r="J54" s="25"/>
      <c r="K54" s="25"/>
      <c r="L54" s="36"/>
      <c r="M54" s="36"/>
      <c r="DI54" s="1"/>
      <c r="DJ54" s="1"/>
      <c r="DK54" s="1"/>
      <c r="DZ54" s="1"/>
      <c r="EA54" s="1"/>
      <c r="EB54" s="1"/>
      <c r="EC54" s="1"/>
      <c r="ED54" s="1"/>
      <c r="EE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U54" s="1"/>
      <c r="GV54" s="1"/>
      <c r="GW54" s="25"/>
      <c r="GX54" s="1"/>
      <c r="GZ54" s="258"/>
      <c r="HA54" s="248"/>
      <c r="HB54" s="286">
        <v>10488531.6</v>
      </c>
      <c r="HC54" s="286">
        <f>(GW48-HB54)/6</f>
        <v>-221.93333333327124</v>
      </c>
      <c r="JN54" s="477"/>
      <c r="JO54" s="477"/>
      <c r="JP54" s="477"/>
      <c r="JQ54" s="477"/>
      <c r="JR54" s="477"/>
      <c r="JS54" s="477"/>
      <c r="JT54" s="477"/>
      <c r="JU54" s="477"/>
      <c r="JV54" s="477"/>
      <c r="JW54" s="477"/>
      <c r="JX54" s="477"/>
      <c r="JY54" s="477"/>
    </row>
    <row r="55" spans="10:285" s="2" customFormat="1" x14ac:dyDescent="0.25">
      <c r="J55" s="25"/>
      <c r="K55" s="25"/>
      <c r="L55" s="36"/>
      <c r="M55" s="36"/>
      <c r="DI55" s="1"/>
      <c r="DJ55" s="1"/>
      <c r="DK55" s="1"/>
      <c r="DZ55" s="1"/>
      <c r="EA55" s="1"/>
      <c r="EB55" s="1"/>
      <c r="EC55" s="1"/>
      <c r="ED55" s="1"/>
      <c r="EE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U55" s="302" t="s">
        <v>268</v>
      </c>
      <c r="GV55" s="302" t="s">
        <v>259</v>
      </c>
      <c r="GW55" s="302"/>
      <c r="GX55" s="25"/>
      <c r="GZ55" s="257"/>
      <c r="HA55" s="271" t="s">
        <v>213</v>
      </c>
      <c r="HB55" s="271" t="s">
        <v>214</v>
      </c>
      <c r="HC55" s="271"/>
      <c r="JN55" s="477"/>
      <c r="JO55" s="477"/>
      <c r="JP55" s="477"/>
      <c r="JQ55" s="477"/>
      <c r="JR55" s="477"/>
      <c r="JS55" s="477"/>
      <c r="JT55" s="477"/>
      <c r="JU55" s="477"/>
      <c r="JV55" s="477"/>
      <c r="JW55" s="477"/>
      <c r="JX55" s="477"/>
      <c r="JY55" s="477"/>
    </row>
    <row r="56" spans="10:285" s="2" customFormat="1" ht="61.2" x14ac:dyDescent="0.25">
      <c r="J56" s="25"/>
      <c r="K56" s="25"/>
      <c r="L56" s="36"/>
      <c r="M56" s="36"/>
      <c r="DI56" s="1"/>
      <c r="DJ56" s="1"/>
      <c r="DK56" s="1"/>
      <c r="DZ56" s="1"/>
      <c r="EA56" s="1"/>
      <c r="EB56" s="1"/>
      <c r="EC56" s="1"/>
      <c r="ED56" s="1"/>
      <c r="EE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U56" s="257">
        <v>31632000</v>
      </c>
      <c r="GV56" s="257" t="s">
        <v>270</v>
      </c>
      <c r="GW56" s="25"/>
      <c r="GX56" s="25"/>
      <c r="GZ56" s="291" t="s">
        <v>262</v>
      </c>
      <c r="HA56" s="292" t="s">
        <v>263</v>
      </c>
      <c r="HB56" s="292" t="s">
        <v>263</v>
      </c>
      <c r="HC56" s="163"/>
      <c r="JN56" s="477"/>
      <c r="JO56" s="477"/>
      <c r="JP56" s="477"/>
      <c r="JQ56" s="477"/>
      <c r="JR56" s="477"/>
      <c r="JS56" s="477"/>
      <c r="JT56" s="477"/>
      <c r="JU56" s="477"/>
      <c r="JV56" s="477"/>
      <c r="JW56" s="477"/>
      <c r="JX56" s="477"/>
      <c r="JY56" s="477"/>
    </row>
    <row r="57" spans="10:285" s="2" customFormat="1" x14ac:dyDescent="0.25">
      <c r="J57" s="25"/>
      <c r="K57" s="25"/>
      <c r="L57" s="36"/>
      <c r="M57" s="36"/>
      <c r="DI57" s="1"/>
      <c r="DJ57" s="1"/>
      <c r="DK57" s="1"/>
      <c r="DZ57" s="1"/>
      <c r="EA57" s="1"/>
      <c r="EB57" s="1"/>
      <c r="EC57" s="1"/>
      <c r="ED57" s="1"/>
      <c r="EE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U57" s="257">
        <f>GW49</f>
        <v>8330911.2800000003</v>
      </c>
      <c r="GV57" s="257" t="s">
        <v>260</v>
      </c>
      <c r="GW57" s="257"/>
      <c r="GX57" s="257"/>
      <c r="GZ57" s="295" t="s">
        <v>264</v>
      </c>
      <c r="HA57" s="226">
        <v>40655653.119999997</v>
      </c>
      <c r="HB57" s="226">
        <v>40655653.119999997</v>
      </c>
      <c r="HC57" s="296"/>
      <c r="JN57" s="477"/>
      <c r="JO57" s="477"/>
      <c r="JP57" s="477"/>
      <c r="JQ57" s="477"/>
      <c r="JR57" s="477"/>
      <c r="JS57" s="477"/>
      <c r="JT57" s="477"/>
      <c r="JU57" s="477"/>
      <c r="JV57" s="477"/>
      <c r="JW57" s="477"/>
      <c r="JX57" s="477"/>
      <c r="JY57" s="477"/>
    </row>
    <row r="58" spans="10:285" s="2" customFormat="1" x14ac:dyDescent="0.25">
      <c r="J58" s="25"/>
      <c r="K58" s="25"/>
      <c r="L58" s="36"/>
      <c r="M58" s="36"/>
      <c r="DI58" s="1"/>
      <c r="DJ58" s="1"/>
      <c r="DK58" s="1"/>
      <c r="DZ58" s="1"/>
      <c r="EA58" s="1"/>
      <c r="EB58" s="1"/>
      <c r="EC58" s="1"/>
      <c r="ED58" s="1"/>
      <c r="EE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U58" s="302">
        <f>GU56-GU57</f>
        <v>23301088.719999999</v>
      </c>
      <c r="GV58" s="257" t="s">
        <v>272</v>
      </c>
      <c r="GW58" s="257"/>
      <c r="GX58" s="257"/>
      <c r="GZ58" s="297" t="s">
        <v>266</v>
      </c>
      <c r="HA58" s="298">
        <v>29475253.120000001</v>
      </c>
      <c r="HB58" s="298">
        <v>29475253.120000001</v>
      </c>
      <c r="HC58" s="249"/>
      <c r="JN58" s="477"/>
      <c r="JO58" s="477"/>
      <c r="JP58" s="477"/>
      <c r="JQ58" s="477"/>
      <c r="JR58" s="477"/>
      <c r="JS58" s="477"/>
      <c r="JT58" s="477"/>
      <c r="JU58" s="477"/>
      <c r="JV58" s="477"/>
      <c r="JW58" s="477"/>
      <c r="JX58" s="477"/>
      <c r="JY58" s="477"/>
    </row>
    <row r="59" spans="10:285" s="2" customFormat="1" x14ac:dyDescent="0.25">
      <c r="J59" s="25"/>
      <c r="K59" s="25"/>
      <c r="L59" s="36"/>
      <c r="M59" s="36"/>
      <c r="DI59" s="1"/>
      <c r="DJ59" s="1"/>
      <c r="DK59" s="1"/>
      <c r="DZ59" s="1"/>
      <c r="EA59" s="1"/>
      <c r="EB59" s="1"/>
      <c r="EC59" s="1"/>
      <c r="ED59" s="1"/>
      <c r="EE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U59" s="257"/>
      <c r="GV59" s="257"/>
      <c r="GW59" s="257"/>
      <c r="GX59" s="257"/>
      <c r="GZ59" s="297" t="s">
        <v>267</v>
      </c>
      <c r="HA59" s="298">
        <v>4916897.38</v>
      </c>
      <c r="HB59" s="298">
        <v>4916897.38</v>
      </c>
      <c r="HC59" s="249"/>
      <c r="JN59" s="477"/>
      <c r="JO59" s="477"/>
      <c r="JP59" s="477"/>
      <c r="JQ59" s="477"/>
      <c r="JR59" s="477"/>
      <c r="JS59" s="477"/>
      <c r="JT59" s="477"/>
      <c r="JU59" s="477"/>
      <c r="JV59" s="477"/>
      <c r="JW59" s="477"/>
      <c r="JX59" s="477"/>
      <c r="JY59" s="477"/>
    </row>
    <row r="60" spans="10:285" s="2" customFormat="1" x14ac:dyDescent="0.25">
      <c r="J60" s="25"/>
      <c r="K60" s="25"/>
      <c r="L60" s="36"/>
      <c r="M60" s="36"/>
      <c r="DI60" s="1"/>
      <c r="DJ60" s="1"/>
      <c r="DK60" s="1"/>
      <c r="DZ60" s="1"/>
      <c r="EA60" s="1"/>
      <c r="EB60" s="1"/>
      <c r="EC60" s="1"/>
      <c r="ED60" s="1"/>
      <c r="EE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U60" s="257">
        <f>GV50-GW50</f>
        <v>21700</v>
      </c>
      <c r="GV60" s="257"/>
      <c r="GW60" s="257"/>
      <c r="GX60" s="257"/>
      <c r="GZ60" s="303" t="s">
        <v>269</v>
      </c>
      <c r="HA60" s="304">
        <f>HA58-HA59</f>
        <v>24558355.740000002</v>
      </c>
      <c r="HB60" s="304">
        <f>HB58-HB59</f>
        <v>24558355.740000002</v>
      </c>
      <c r="HC60" s="271"/>
      <c r="JN60" s="477"/>
      <c r="JO60" s="477"/>
      <c r="JP60" s="477"/>
      <c r="JQ60" s="477"/>
      <c r="JR60" s="477"/>
      <c r="JS60" s="477"/>
      <c r="JT60" s="477"/>
      <c r="JU60" s="477"/>
      <c r="JV60" s="477"/>
      <c r="JW60" s="477"/>
      <c r="JX60" s="477"/>
      <c r="JY60" s="477"/>
    </row>
    <row r="61" spans="10:285" s="2" customFormat="1" x14ac:dyDescent="0.25">
      <c r="J61" s="25"/>
      <c r="K61" s="25"/>
      <c r="DI61" s="1"/>
      <c r="DJ61" s="1"/>
      <c r="DK61" s="1"/>
      <c r="DZ61" s="1"/>
      <c r="EA61" s="1"/>
      <c r="EB61" s="1"/>
      <c r="EC61" s="1"/>
      <c r="ED61" s="1"/>
      <c r="EE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U61" s="284" t="e">
        <f>GU60/GT17</f>
        <v>#REF!</v>
      </c>
      <c r="GV61" s="257" t="s">
        <v>274</v>
      </c>
      <c r="GW61" s="257"/>
      <c r="GX61" s="257"/>
      <c r="GZ61" s="303" t="s">
        <v>271</v>
      </c>
      <c r="HA61" s="298">
        <v>11180400</v>
      </c>
      <c r="HB61" s="298">
        <v>11180400</v>
      </c>
      <c r="HC61" s="249" t="e">
        <f>HA61-#REF!</f>
        <v>#REF!</v>
      </c>
      <c r="JN61" s="477"/>
      <c r="JO61" s="477"/>
      <c r="JP61" s="477"/>
      <c r="JQ61" s="477"/>
      <c r="JR61" s="477"/>
      <c r="JS61" s="477"/>
      <c r="JT61" s="477"/>
      <c r="JU61" s="477"/>
      <c r="JV61" s="477"/>
      <c r="JW61" s="477"/>
      <c r="JX61" s="477"/>
      <c r="JY61" s="477"/>
    </row>
    <row r="62" spans="10:285" x14ac:dyDescent="0.25">
      <c r="GZ62" s="25"/>
      <c r="HA62" s="249">
        <f>HA61+HA58</f>
        <v>40655653.120000005</v>
      </c>
      <c r="HB62" s="249">
        <f>HB61+HB58</f>
        <v>40655653.120000005</v>
      </c>
      <c r="HC62" s="305" t="e">
        <f>HC61/6</f>
        <v>#REF!</v>
      </c>
    </row>
    <row r="63" spans="10:285" x14ac:dyDescent="0.25">
      <c r="GZ63" s="25"/>
      <c r="HA63" s="249"/>
      <c r="HB63" s="249"/>
      <c r="HC63" s="249"/>
    </row>
    <row r="64" spans="10:285" x14ac:dyDescent="0.25">
      <c r="GZ64" s="25"/>
      <c r="HA64" s="257">
        <f>HA60-HA51</f>
        <v>-7073644.2599999979</v>
      </c>
      <c r="HB64" s="257"/>
      <c r="HC64" s="257"/>
    </row>
    <row r="65" spans="208:211" x14ac:dyDescent="0.25">
      <c r="GZ65" s="306" t="s">
        <v>273</v>
      </c>
      <c r="HA65" s="257">
        <f>HA64/6</f>
        <v>-1178940.7099999997</v>
      </c>
      <c r="HB65" s="25"/>
      <c r="HC65" s="25"/>
    </row>
    <row r="66" spans="208:211" x14ac:dyDescent="0.25">
      <c r="GZ66" s="25"/>
      <c r="HA66" s="307">
        <v>1906883.33</v>
      </c>
      <c r="HB66" s="25"/>
      <c r="HC66" s="25"/>
    </row>
  </sheetData>
  <mergeCells count="104"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abSelected="1" workbookViewId="0">
      <selection activeCell="F5" sqref="F5"/>
    </sheetView>
  </sheetViews>
  <sheetFormatPr defaultColWidth="8.88671875" defaultRowHeight="13.8" x14ac:dyDescent="0.25"/>
  <cols>
    <col min="1" max="1" width="19.5546875" style="48" customWidth="1"/>
    <col min="2" max="2" width="29" style="48" customWidth="1"/>
    <col min="3" max="3" width="17.33203125" style="48" customWidth="1"/>
    <col min="4" max="4" width="20.5546875" style="48" customWidth="1"/>
    <col min="5" max="5" width="20.33203125" style="48" customWidth="1"/>
    <col min="6" max="6" width="20.6640625" style="48" customWidth="1"/>
    <col min="7" max="8" width="8.88671875" style="48"/>
    <col min="9" max="9" width="14.6640625" style="48" customWidth="1"/>
    <col min="10" max="10" width="8.88671875" style="48"/>
    <col min="11" max="11" width="12.109375" style="49" customWidth="1"/>
    <col min="12" max="12" width="13.6640625" style="49" customWidth="1"/>
    <col min="13" max="16384" width="8.88671875" style="48"/>
  </cols>
  <sheetData>
    <row r="2" spans="1:20" hidden="1" x14ac:dyDescent="0.25"/>
    <row r="3" spans="1:20" hidden="1" x14ac:dyDescent="0.25">
      <c r="T3" s="48" t="s">
        <v>275</v>
      </c>
    </row>
    <row r="4" spans="1:20" ht="22.2" customHeight="1" x14ac:dyDescent="0.25">
      <c r="F4" s="308" t="s">
        <v>643</v>
      </c>
      <c r="G4" s="50"/>
    </row>
    <row r="6" spans="1:20" ht="40.200000000000003" customHeight="1" x14ac:dyDescent="0.35">
      <c r="A6" s="947" t="s">
        <v>580</v>
      </c>
      <c r="B6" s="947"/>
      <c r="C6" s="947"/>
      <c r="D6" s="947"/>
      <c r="E6" s="947"/>
      <c r="F6" s="51"/>
      <c r="G6" s="51"/>
      <c r="H6" s="51"/>
      <c r="I6" s="51"/>
      <c r="J6" s="51"/>
      <c r="K6" s="309"/>
      <c r="L6" s="309"/>
      <c r="M6" s="51"/>
      <c r="N6" s="51"/>
      <c r="O6" s="51"/>
      <c r="P6" s="51"/>
      <c r="Q6" s="51"/>
      <c r="R6" s="51"/>
      <c r="S6" s="51"/>
    </row>
    <row r="7" spans="1:20" x14ac:dyDescent="0.25">
      <c r="T7" s="75"/>
    </row>
    <row r="8" spans="1:20" x14ac:dyDescent="0.25">
      <c r="A8" s="310" t="s">
        <v>276</v>
      </c>
      <c r="G8" s="75"/>
      <c r="H8" s="75"/>
      <c r="I8" s="75"/>
      <c r="J8" s="75"/>
      <c r="T8" s="75"/>
    </row>
    <row r="10" spans="1:20" ht="44.4" customHeight="1" x14ac:dyDescent="0.25">
      <c r="A10" s="941" t="s">
        <v>2</v>
      </c>
      <c r="B10" s="311" t="s">
        <v>8</v>
      </c>
      <c r="C10" s="941" t="s">
        <v>154</v>
      </c>
      <c r="D10" s="941" t="s">
        <v>341</v>
      </c>
      <c r="E10" s="941" t="s">
        <v>440</v>
      </c>
      <c r="F10" s="941" t="s">
        <v>577</v>
      </c>
    </row>
    <row r="11" spans="1:20" ht="59.4" customHeight="1" x14ac:dyDescent="0.25">
      <c r="A11" s="941"/>
      <c r="B11" s="312" t="s">
        <v>277</v>
      </c>
      <c r="C11" s="941"/>
      <c r="D11" s="941"/>
      <c r="E11" s="941"/>
      <c r="F11" s="941"/>
    </row>
    <row r="12" spans="1:20" ht="25.95" customHeight="1" x14ac:dyDescent="0.25">
      <c r="A12" s="313" t="s">
        <v>18</v>
      </c>
      <c r="B12" s="313" t="s">
        <v>18</v>
      </c>
      <c r="C12" s="313" t="s">
        <v>21</v>
      </c>
      <c r="D12" s="313" t="s">
        <v>21</v>
      </c>
      <c r="E12" s="313" t="s">
        <v>21</v>
      </c>
      <c r="F12" s="313" t="s">
        <v>21</v>
      </c>
    </row>
    <row r="13" spans="1:20" ht="70.2" customHeight="1" x14ac:dyDescent="0.25">
      <c r="A13" s="942" t="s">
        <v>228</v>
      </c>
      <c r="B13" s="318" t="s">
        <v>229</v>
      </c>
      <c r="C13" s="314">
        <f>'прилож.3-ДДТ'!J11</f>
        <v>10211997.6</v>
      </c>
      <c r="D13" s="315">
        <f>C13</f>
        <v>10211997.6</v>
      </c>
      <c r="E13" s="315">
        <f>'прилож.3-ДДТ'!L11</f>
        <v>9113837.9699999988</v>
      </c>
      <c r="F13" s="315">
        <f>'прилож.3-ДДТ'!N11</f>
        <v>9113837.9699999988</v>
      </c>
    </row>
    <row r="14" spans="1:20" ht="55.2" customHeight="1" x14ac:dyDescent="0.25">
      <c r="A14" s="943"/>
      <c r="B14" s="318" t="s">
        <v>231</v>
      </c>
      <c r="C14" s="314">
        <f>'прилож.3-ДДТ'!J12</f>
        <v>10515879.360000001</v>
      </c>
      <c r="D14" s="315">
        <f t="shared" ref="D14:D17" si="0">C14</f>
        <v>10515879.360000001</v>
      </c>
      <c r="E14" s="315">
        <f>'прилож.3-ДДТ'!L12</f>
        <v>9385189.9199999999</v>
      </c>
      <c r="F14" s="315">
        <f>'прилож.3-ДДТ'!N12</f>
        <v>9385189.9199999999</v>
      </c>
    </row>
    <row r="15" spans="1:20" ht="67.95" customHeight="1" x14ac:dyDescent="0.25">
      <c r="A15" s="943"/>
      <c r="B15" s="318" t="s">
        <v>232</v>
      </c>
      <c r="C15" s="314">
        <f>'прилож.3-ДДТ'!J13</f>
        <v>4349200.2666912004</v>
      </c>
      <c r="D15" s="315">
        <f t="shared" si="0"/>
        <v>4349200.2666912004</v>
      </c>
      <c r="E15" s="315">
        <f>'прилож.3-ДДТ'!L13</f>
        <v>3881210.3119840003</v>
      </c>
      <c r="F15" s="315">
        <f>'прилож.3-ДДТ'!N13</f>
        <v>3881210.3119840003</v>
      </c>
    </row>
    <row r="16" spans="1:20" ht="58.2" customHeight="1" x14ac:dyDescent="0.25">
      <c r="A16" s="943"/>
      <c r="B16" s="318" t="s">
        <v>233</v>
      </c>
      <c r="C16" s="314">
        <f>'прилож.3-ДДТ'!J14</f>
        <v>12016810.08</v>
      </c>
      <c r="D16" s="315">
        <f t="shared" si="0"/>
        <v>12016810.08</v>
      </c>
      <c r="E16" s="315">
        <f>'прилож.3-ДДТ'!L14</f>
        <v>10724805</v>
      </c>
      <c r="F16" s="315">
        <f>'прилож.3-ДДТ'!N14</f>
        <v>10724805</v>
      </c>
    </row>
    <row r="17" spans="1:12" ht="57.6" customHeight="1" x14ac:dyDescent="0.25">
      <c r="A17" s="943"/>
      <c r="B17" s="318" t="s">
        <v>234</v>
      </c>
      <c r="C17" s="314">
        <f>'прилож.3-ДДТ'!J15</f>
        <v>18309312</v>
      </c>
      <c r="D17" s="315">
        <f t="shared" si="0"/>
        <v>18309312</v>
      </c>
      <c r="E17" s="315">
        <f>'прилож.3-ДДТ'!L15</f>
        <v>16341444</v>
      </c>
      <c r="F17" s="315">
        <f>'прилож.3-ДДТ'!N15</f>
        <v>16341444</v>
      </c>
    </row>
    <row r="18" spans="1:12" ht="59.4" customHeight="1" x14ac:dyDescent="0.25">
      <c r="A18" s="944"/>
      <c r="B18" s="318" t="s">
        <v>278</v>
      </c>
      <c r="C18" s="314">
        <f>'прилож.3-ДДТ'!J16</f>
        <v>7968661.2000000002</v>
      </c>
      <c r="D18" s="315">
        <f>C18</f>
        <v>7968661.2000000002</v>
      </c>
      <c r="E18" s="315">
        <f>'прилож.3-ДДТ'!L16</f>
        <v>7111972.7999999998</v>
      </c>
      <c r="F18" s="315">
        <f>'прилож.3-ДДТ'!N16</f>
        <v>7111972.7999999998</v>
      </c>
    </row>
    <row r="19" spans="1:12" ht="21.6" customHeight="1" x14ac:dyDescent="0.25">
      <c r="A19" s="316" t="s">
        <v>237</v>
      </c>
      <c r="B19" s="158" t="s">
        <v>238</v>
      </c>
      <c r="C19" s="153">
        <f>SUM(C13:C18)</f>
        <v>63371860.506691203</v>
      </c>
      <c r="D19" s="153">
        <f>SUM(D13:D18)</f>
        <v>63371860.506691203</v>
      </c>
      <c r="E19" s="153">
        <f>SUM(E13:E18)</f>
        <v>56558460.001984</v>
      </c>
      <c r="F19" s="153">
        <f>SUM(F13:F18)</f>
        <v>56558460.001984</v>
      </c>
    </row>
    <row r="20" spans="1:12" ht="41.4" customHeight="1" x14ac:dyDescent="0.25">
      <c r="A20" s="480" t="s">
        <v>228</v>
      </c>
      <c r="B20" s="322" t="s">
        <v>240</v>
      </c>
      <c r="C20" s="314">
        <f>'прилож.3-ДДТ'!J18</f>
        <v>383727.68</v>
      </c>
      <c r="D20" s="315">
        <f>C20</f>
        <v>383727.68</v>
      </c>
      <c r="E20" s="315">
        <f>'прилож.3-ДДТ'!L18</f>
        <v>0</v>
      </c>
      <c r="F20" s="315">
        <f>'прилож.3-ДДТ'!N18</f>
        <v>0</v>
      </c>
    </row>
    <row r="21" spans="1:12" ht="22.2" customHeight="1" x14ac:dyDescent="0.25">
      <c r="A21" s="316" t="s">
        <v>242</v>
      </c>
      <c r="B21" s="158" t="s">
        <v>243</v>
      </c>
      <c r="C21" s="153">
        <f>C20</f>
        <v>383727.68</v>
      </c>
      <c r="D21" s="153">
        <f>D20</f>
        <v>383727.68</v>
      </c>
      <c r="E21" s="153">
        <f>E20</f>
        <v>0</v>
      </c>
      <c r="F21" s="153">
        <f>F20</f>
        <v>0</v>
      </c>
      <c r="I21" s="77"/>
      <c r="J21" s="77"/>
      <c r="K21" s="319"/>
      <c r="L21" s="320"/>
    </row>
    <row r="22" spans="1:12" ht="23.4" customHeight="1" x14ac:dyDescent="0.25">
      <c r="A22" s="945" t="s">
        <v>119</v>
      </c>
      <c r="B22" s="946"/>
      <c r="C22" s="153">
        <f>C19+C21</f>
        <v>63755588.186691202</v>
      </c>
      <c r="D22" s="153">
        <f>D19+D21</f>
        <v>63755588.186691202</v>
      </c>
      <c r="E22" s="153">
        <f>E19+E21</f>
        <v>56558460.001984</v>
      </c>
      <c r="F22" s="153">
        <f>F19+F21</f>
        <v>56558460.001984</v>
      </c>
      <c r="I22" s="77"/>
      <c r="J22" s="77"/>
      <c r="K22" s="319"/>
      <c r="L22" s="78"/>
    </row>
    <row r="23" spans="1:12" x14ac:dyDescent="0.25">
      <c r="I23" s="77"/>
      <c r="J23" s="77"/>
      <c r="K23" s="319"/>
      <c r="L23" s="319"/>
    </row>
    <row r="24" spans="1:12" x14ac:dyDescent="0.25">
      <c r="A24" s="48" t="s">
        <v>78</v>
      </c>
      <c r="I24" s="77"/>
      <c r="J24" s="77"/>
      <c r="K24" s="319"/>
      <c r="L24" s="319"/>
    </row>
    <row r="25" spans="1:12" x14ac:dyDescent="0.25">
      <c r="I25" s="321"/>
      <c r="J25" s="77"/>
      <c r="K25" s="77"/>
      <c r="L25" s="319"/>
    </row>
    <row r="26" spans="1:12" x14ac:dyDescent="0.25">
      <c r="F26" s="75"/>
      <c r="I26" s="321"/>
      <c r="J26" s="77"/>
      <c r="K26" s="78"/>
      <c r="L26" s="319"/>
    </row>
    <row r="27" spans="1:12" x14ac:dyDescent="0.25">
      <c r="I27" s="321"/>
      <c r="J27" s="77"/>
      <c r="K27" s="77"/>
      <c r="L27" s="319"/>
    </row>
    <row r="28" spans="1:12" x14ac:dyDescent="0.25">
      <c r="I28" s="77"/>
      <c r="J28" s="77"/>
      <c r="K28" s="77"/>
      <c r="L28" s="319"/>
    </row>
    <row r="29" spans="1:12" x14ac:dyDescent="0.25">
      <c r="I29" s="78"/>
      <c r="J29" s="77"/>
      <c r="K29" s="319"/>
      <c r="L29" s="319"/>
    </row>
    <row r="30" spans="1:12" x14ac:dyDescent="0.25">
      <c r="I30" s="78"/>
      <c r="J30" s="77"/>
      <c r="K30" s="319"/>
      <c r="L30" s="319"/>
    </row>
    <row r="31" spans="1:12" x14ac:dyDescent="0.25">
      <c r="I31" s="78"/>
      <c r="J31" s="77"/>
      <c r="K31" s="319"/>
      <c r="L31" s="319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2026-03-27T07:18:40Z</dcterms:modified>
</cp:coreProperties>
</file>